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24226"/>
  <mc:AlternateContent xmlns:mc="http://schemas.openxmlformats.org/markup-compatibility/2006">
    <mc:Choice Requires="x15">
      <x15ac:absPath xmlns:x15ac="http://schemas.microsoft.com/office/spreadsheetml/2010/11/ac" url="F:\2025\PLANES\"/>
    </mc:Choice>
  </mc:AlternateContent>
  <xr:revisionPtr revIDLastSave="0" documentId="13_ncr:1_{B94B9394-B4DA-4B3F-BE06-861160264596}" xr6:coauthVersionLast="47" xr6:coauthVersionMax="47" xr10:uidLastSave="{00000000-0000-0000-0000-000000000000}"/>
  <bookViews>
    <workbookView xWindow="-120" yWindow="-120" windowWidth="20730" windowHeight="11160" tabRatio="629" firstSheet="1" activeTab="1" xr2:uid="{00000000-000D-0000-FFFF-FFFF00000000}"/>
  </bookViews>
  <sheets>
    <sheet name="Instructivo " sheetId="21" state="hidden" r:id="rId1"/>
    <sheet name="1. Mapa de Riesgos" sheetId="1" r:id="rId2"/>
    <sheet name="2. CONTROL DE CAMBIOS" sheetId="23" r:id="rId3"/>
    <sheet name="Matriz Calor Inherente" sheetId="18" r:id="rId4"/>
    <sheet name="Matriz Calor Residual" sheetId="19" r:id="rId5"/>
    <sheet name="Tabla probabilidad" sheetId="12" r:id="rId6"/>
    <sheet name="Tabla Impacto" sheetId="13" r:id="rId7"/>
    <sheet name="Tabla Valoración controles" sheetId="15" r:id="rId8"/>
    <sheet name="Anexo 1" sheetId="22" r:id="rId9"/>
    <sheet name="Opciones Tratamiento" sheetId="16" state="hidden" r:id="rId10"/>
    <sheet name="Hoja1" sheetId="11" state="hidden" r:id="rId11"/>
  </sheets>
  <externalReferences>
    <externalReference r:id="rId12"/>
    <externalReference r:id="rId13"/>
  </externalReferences>
  <definedNames>
    <definedName name="_xlnm._FilterDatabase" localSheetId="1" hidden="1">'1. Mapa de Riesgos'!$B$13:$BS$86</definedName>
    <definedName name="_xlnm.Print_Area" localSheetId="1">'1. Mapa de Riesgos'!$B$2:$AM$86</definedName>
  </definedNames>
  <calcPr calcId="191029"/>
  <pivotCaches>
    <pivotCache cacheId="0" r:id="rId1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2" i="1" l="1"/>
  <c r="AD20" i="1"/>
  <c r="AC20" i="1" s="1"/>
  <c r="V20" i="1"/>
  <c r="Z20" i="1" s="1"/>
  <c r="V59" i="1"/>
  <c r="S59" i="1"/>
  <c r="AD59" i="1" s="1"/>
  <c r="AC59" i="1" s="1"/>
  <c r="S15" i="1"/>
  <c r="AD15" i="1" s="1"/>
  <c r="AC15" i="1" s="1"/>
  <c r="AD26" i="1"/>
  <c r="AC26" i="1" s="1"/>
  <c r="V26" i="1"/>
  <c r="Z26" i="1" s="1"/>
  <c r="M25" i="1"/>
  <c r="M24" i="1"/>
  <c r="M23" i="1"/>
  <c r="M22" i="1"/>
  <c r="M21" i="1"/>
  <c r="M20" i="1"/>
  <c r="N20" i="1" s="1"/>
  <c r="M31" i="1"/>
  <c r="M30" i="1"/>
  <c r="M29" i="1"/>
  <c r="M28" i="1"/>
  <c r="M27" i="1"/>
  <c r="M26" i="1"/>
  <c r="N26" i="1" s="1"/>
  <c r="V85" i="1"/>
  <c r="S85" i="1"/>
  <c r="M85" i="1"/>
  <c r="V84" i="1"/>
  <c r="S84" i="1"/>
  <c r="M84" i="1"/>
  <c r="V83" i="1"/>
  <c r="S83" i="1"/>
  <c r="M83" i="1"/>
  <c r="V82" i="1"/>
  <c r="S82" i="1"/>
  <c r="M82" i="1"/>
  <c r="V81" i="1"/>
  <c r="S81" i="1"/>
  <c r="M81" i="1"/>
  <c r="AD80" i="1"/>
  <c r="AC80" i="1" s="1"/>
  <c r="Z80" i="1"/>
  <c r="AB80" i="1" s="1"/>
  <c r="V80" i="1"/>
  <c r="J80" i="1"/>
  <c r="K80" i="1" s="1"/>
  <c r="V79" i="1"/>
  <c r="S79" i="1"/>
  <c r="M79" i="1"/>
  <c r="V78" i="1"/>
  <c r="S78" i="1"/>
  <c r="M78" i="1"/>
  <c r="V77" i="1"/>
  <c r="S77" i="1"/>
  <c r="M77" i="1"/>
  <c r="V76" i="1"/>
  <c r="S76" i="1"/>
  <c r="M76" i="1"/>
  <c r="V75" i="1"/>
  <c r="S75" i="1"/>
  <c r="M75" i="1"/>
  <c r="J74" i="1"/>
  <c r="K74" i="1" s="1"/>
  <c r="Z76" i="1" l="1"/>
  <c r="AB76" i="1" s="1"/>
  <c r="AA20" i="1"/>
  <c r="AE20" i="1" s="1"/>
  <c r="AB20" i="1"/>
  <c r="AD79" i="1"/>
  <c r="AC79" i="1" s="1"/>
  <c r="Z59" i="1"/>
  <c r="AD78" i="1"/>
  <c r="AC78" i="1" s="1"/>
  <c r="Z79" i="1"/>
  <c r="AB79" i="1" s="1"/>
  <c r="AD83" i="1"/>
  <c r="AC83" i="1" s="1"/>
  <c r="AD85" i="1"/>
  <c r="AC85" i="1" s="1"/>
  <c r="Z15" i="1"/>
  <c r="Z83" i="1"/>
  <c r="AB83" i="1" s="1"/>
  <c r="AD77" i="1"/>
  <c r="AC77" i="1" s="1"/>
  <c r="AD76" i="1"/>
  <c r="AC76" i="1" s="1"/>
  <c r="AD82" i="1"/>
  <c r="AC82" i="1" s="1"/>
  <c r="Z75" i="1"/>
  <c r="AA75" i="1" s="1"/>
  <c r="AD75" i="1"/>
  <c r="AC75" i="1" s="1"/>
  <c r="AD84" i="1"/>
  <c r="AC84" i="1" s="1"/>
  <c r="AA26" i="1"/>
  <c r="AE26" i="1" s="1"/>
  <c r="AB26" i="1"/>
  <c r="O20" i="1"/>
  <c r="O26" i="1"/>
  <c r="Z84" i="1"/>
  <c r="Z77" i="1"/>
  <c r="AA80" i="1"/>
  <c r="AE80" i="1" s="1"/>
  <c r="Z81" i="1"/>
  <c r="AD81" i="1"/>
  <c r="AC81" i="1" s="1"/>
  <c r="Z85" i="1"/>
  <c r="Z78" i="1"/>
  <c r="Z82" i="1"/>
  <c r="AA79" i="1" l="1"/>
  <c r="AE79" i="1" s="1"/>
  <c r="AA83" i="1"/>
  <c r="AE83" i="1" s="1"/>
  <c r="AA76" i="1"/>
  <c r="AE76" i="1" s="1"/>
  <c r="AB75" i="1"/>
  <c r="AA59" i="1"/>
  <c r="AE59" i="1" s="1"/>
  <c r="AB59" i="1"/>
  <c r="AA15" i="1"/>
  <c r="AE15" i="1" s="1"/>
  <c r="AB15" i="1"/>
  <c r="AE75" i="1"/>
  <c r="AA82" i="1"/>
  <c r="AE82" i="1" s="1"/>
  <c r="AB82" i="1"/>
  <c r="AA81" i="1"/>
  <c r="AE81" i="1" s="1"/>
  <c r="AB81" i="1"/>
  <c r="AB78" i="1"/>
  <c r="AA78" i="1"/>
  <c r="AE78" i="1" s="1"/>
  <c r="AA85" i="1"/>
  <c r="AE85" i="1" s="1"/>
  <c r="AB85" i="1"/>
  <c r="AA77" i="1"/>
  <c r="AE77" i="1" s="1"/>
  <c r="AB77" i="1"/>
  <c r="AB84" i="1"/>
  <c r="AA84" i="1"/>
  <c r="AE84" i="1" s="1"/>
  <c r="V58" i="1" l="1"/>
  <c r="V57" i="1" l="1"/>
  <c r="S57" i="1"/>
  <c r="V56" i="1"/>
  <c r="S56" i="1"/>
  <c r="M61" i="1"/>
  <c r="M60" i="1"/>
  <c r="M59" i="1"/>
  <c r="M58" i="1"/>
  <c r="M57" i="1"/>
  <c r="M56" i="1"/>
  <c r="N56" i="1" s="1"/>
  <c r="Z58" i="1" l="1"/>
  <c r="O56" i="1"/>
  <c r="AD56" i="1" s="1"/>
  <c r="AC56" i="1" s="1"/>
  <c r="AB58" i="1" l="1"/>
  <c r="AA58" i="1"/>
  <c r="AD57" i="1"/>
  <c r="AC57" i="1" l="1"/>
  <c r="AD58" i="1"/>
  <c r="AC58" i="1" s="1"/>
  <c r="AE58" i="1" s="1"/>
  <c r="AA16" i="1" l="1"/>
  <c r="AA17" i="1"/>
  <c r="V50" i="1"/>
  <c r="S50" i="1"/>
  <c r="V44" i="1"/>
  <c r="S44" i="1"/>
  <c r="M55" i="1"/>
  <c r="M54" i="1"/>
  <c r="M53" i="1"/>
  <c r="M52" i="1"/>
  <c r="M51" i="1"/>
  <c r="J50" i="1"/>
  <c r="K50" i="1" l="1"/>
  <c r="Z50" i="1" s="1"/>
  <c r="AA50" i="1" l="1"/>
  <c r="AB50" i="1"/>
  <c r="M43" i="1" l="1"/>
  <c r="M42" i="1"/>
  <c r="M41" i="1"/>
  <c r="M40" i="1"/>
  <c r="M39" i="1"/>
  <c r="V38" i="1"/>
  <c r="S38" i="1"/>
  <c r="Z39" i="1" s="1"/>
  <c r="M38" i="1"/>
  <c r="N38" i="1" s="1"/>
  <c r="O38" i="1" s="1"/>
  <c r="J38" i="1"/>
  <c r="V49" i="1"/>
  <c r="S49" i="1"/>
  <c r="M49" i="1"/>
  <c r="V48" i="1"/>
  <c r="S48" i="1"/>
  <c r="M48" i="1"/>
  <c r="V47" i="1"/>
  <c r="S47" i="1"/>
  <c r="M47" i="1"/>
  <c r="V46" i="1"/>
  <c r="S46" i="1"/>
  <c r="M46" i="1"/>
  <c r="V45" i="1"/>
  <c r="S45" i="1"/>
  <c r="AD45" i="1" s="1"/>
  <c r="AC45" i="1" s="1"/>
  <c r="M45" i="1"/>
  <c r="J44" i="1"/>
  <c r="K44" i="1" s="1"/>
  <c r="Z44" i="1" s="1"/>
  <c r="AA44" i="1" l="1"/>
  <c r="AB44" i="1"/>
  <c r="Z45" i="1"/>
  <c r="AA45" i="1" s="1"/>
  <c r="AE45" i="1" s="1"/>
  <c r="AD49" i="1"/>
  <c r="AC49" i="1" s="1"/>
  <c r="AD46" i="1"/>
  <c r="AC46" i="1" s="1"/>
  <c r="AD48" i="1"/>
  <c r="AC48" i="1" s="1"/>
  <c r="P38" i="1"/>
  <c r="AD38" i="1"/>
  <c r="AC38" i="1" s="1"/>
  <c r="K38" i="1"/>
  <c r="Z38" i="1" s="1"/>
  <c r="Z42" i="1"/>
  <c r="Z43" i="1"/>
  <c r="Z47" i="1"/>
  <c r="AD47" i="1"/>
  <c r="AC47" i="1" s="1"/>
  <c r="Z48" i="1"/>
  <c r="Z49" i="1"/>
  <c r="Z46" i="1"/>
  <c r="AB45" i="1" l="1"/>
  <c r="AB38" i="1"/>
  <c r="AA38" i="1"/>
  <c r="AE38" i="1" s="1"/>
  <c r="AB46" i="1"/>
  <c r="AA46" i="1"/>
  <c r="AE46" i="1" s="1"/>
  <c r="AA49" i="1"/>
  <c r="AE49" i="1" s="1"/>
  <c r="AB49" i="1"/>
  <c r="AB48" i="1"/>
  <c r="AA48" i="1"/>
  <c r="AE48" i="1" s="1"/>
  <c r="AB47" i="1"/>
  <c r="AA47" i="1"/>
  <c r="AE47" i="1" s="1"/>
  <c r="V32" i="1" l="1"/>
  <c r="S32" i="1"/>
  <c r="S14" i="1" l="1"/>
  <c r="J62" i="1" l="1"/>
  <c r="K62" i="1" s="1"/>
  <c r="Z62" i="1" s="1"/>
  <c r="V68" i="1"/>
  <c r="M63" i="1"/>
  <c r="S63" i="1"/>
  <c r="V63" i="1"/>
  <c r="M64" i="1"/>
  <c r="S64" i="1"/>
  <c r="V64" i="1"/>
  <c r="M65" i="1"/>
  <c r="S65" i="1"/>
  <c r="V65" i="1"/>
  <c r="M66" i="1"/>
  <c r="S66" i="1"/>
  <c r="V66" i="1"/>
  <c r="M67" i="1"/>
  <c r="S67" i="1"/>
  <c r="V67" i="1"/>
  <c r="J68" i="1"/>
  <c r="K68" i="1" s="1"/>
  <c r="M69" i="1"/>
  <c r="S69" i="1"/>
  <c r="V69" i="1"/>
  <c r="M70" i="1"/>
  <c r="S70" i="1"/>
  <c r="V70" i="1"/>
  <c r="M71" i="1"/>
  <c r="S71" i="1"/>
  <c r="V71" i="1"/>
  <c r="M72" i="1"/>
  <c r="S72" i="1"/>
  <c r="V72" i="1"/>
  <c r="M73" i="1"/>
  <c r="S73" i="1"/>
  <c r="V73" i="1"/>
  <c r="AA62" i="1" l="1"/>
  <c r="AB62" i="1"/>
  <c r="AD66" i="1"/>
  <c r="AC66" i="1" s="1"/>
  <c r="Z70" i="1"/>
  <c r="AA70" i="1" s="1"/>
  <c r="AD65" i="1"/>
  <c r="AC65" i="1" s="1"/>
  <c r="AD69" i="1"/>
  <c r="AC69" i="1" s="1"/>
  <c r="AD68" i="1"/>
  <c r="AC68" i="1" s="1"/>
  <c r="Z68" i="1"/>
  <c r="AB68" i="1" s="1"/>
  <c r="Z64" i="1"/>
  <c r="AB64" i="1" s="1"/>
  <c r="Z73" i="1"/>
  <c r="AB73" i="1" s="1"/>
  <c r="Z69" i="1"/>
  <c r="AB69" i="1" s="1"/>
  <c r="Z67" i="1"/>
  <c r="AA67" i="1" s="1"/>
  <c r="Z65" i="1"/>
  <c r="AB65" i="1" s="1"/>
  <c r="Z72" i="1"/>
  <c r="AA72" i="1" s="1"/>
  <c r="AD70" i="1"/>
  <c r="AC70" i="1" s="1"/>
  <c r="Z66" i="1"/>
  <c r="AA66" i="1" s="1"/>
  <c r="Z71" i="1"/>
  <c r="AB71" i="1" s="1"/>
  <c r="AD72" i="1"/>
  <c r="AC72" i="1" s="1"/>
  <c r="AD64" i="1"/>
  <c r="AC64" i="1" s="1"/>
  <c r="AD73" i="1"/>
  <c r="AC73" i="1" s="1"/>
  <c r="AD71" i="1"/>
  <c r="AC71" i="1" s="1"/>
  <c r="AD63" i="1"/>
  <c r="AC63" i="1" s="1"/>
  <c r="AD67" i="1"/>
  <c r="AC67" i="1" s="1"/>
  <c r="Z63" i="1"/>
  <c r="AB70" i="1" l="1"/>
  <c r="AE67" i="1"/>
  <c r="AE70" i="1"/>
  <c r="AA65" i="1"/>
  <c r="AE65" i="1" s="1"/>
  <c r="AE66" i="1"/>
  <c r="AA64" i="1"/>
  <c r="AE64" i="1" s="1"/>
  <c r="AB67" i="1"/>
  <c r="AA71" i="1"/>
  <c r="AE71" i="1" s="1"/>
  <c r="AA68" i="1"/>
  <c r="AE68" i="1" s="1"/>
  <c r="AA73" i="1"/>
  <c r="AE73" i="1" s="1"/>
  <c r="AA69" i="1"/>
  <c r="AE69" i="1" s="1"/>
  <c r="AB66" i="1"/>
  <c r="AB72" i="1"/>
  <c r="AE72" i="1"/>
  <c r="AA63" i="1"/>
  <c r="AE63" i="1" s="1"/>
  <c r="AB63" i="1"/>
  <c r="V14" i="1" l="1"/>
  <c r="J14" i="1" l="1"/>
  <c r="K14" i="1" s="1"/>
  <c r="M33" i="1"/>
  <c r="M37" i="1"/>
  <c r="M35" i="1"/>
  <c r="M34" i="1"/>
  <c r="M36" i="1"/>
  <c r="G225" i="13" l="1"/>
  <c r="G215" i="13"/>
  <c r="G216" i="13"/>
  <c r="G217" i="13"/>
  <c r="G218" i="13"/>
  <c r="G219" i="13"/>
  <c r="G220" i="13"/>
  <c r="G221" i="13"/>
  <c r="G222" i="13"/>
  <c r="G223" i="13"/>
  <c r="G224" i="13"/>
  <c r="G214" i="13"/>
  <c r="M19" i="1"/>
  <c r="M18" i="1"/>
  <c r="M15" i="1"/>
  <c r="M16" i="1"/>
  <c r="B225" i="13" a="1"/>
  <c r="M17" i="1"/>
  <c r="B225" i="13" l="1"/>
  <c r="M80" i="1" l="1"/>
  <c r="N80" i="1" s="1"/>
  <c r="M74" i="1"/>
  <c r="N74" i="1" s="1"/>
  <c r="M50" i="1"/>
  <c r="N50" i="1" s="1"/>
  <c r="M44" i="1"/>
  <c r="N44"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I214" i="13"/>
  <c r="O80" i="1" l="1"/>
  <c r="P80" i="1"/>
  <c r="P44" i="1"/>
  <c r="O44" i="1"/>
  <c r="AD44" i="1" s="1"/>
  <c r="AC44" i="1" s="1"/>
  <c r="AE44" i="1" s="1"/>
  <c r="O50" i="1"/>
  <c r="AD50" i="1" s="1"/>
  <c r="AC50" i="1" s="1"/>
  <c r="AE50" i="1" s="1"/>
  <c r="P50" i="1"/>
  <c r="O74" i="1"/>
  <c r="P74" i="1"/>
  <c r="J20" i="1"/>
  <c r="J26" i="1"/>
  <c r="J56" i="1"/>
  <c r="J32" i="1"/>
  <c r="S19" i="1"/>
  <c r="S18" i="1"/>
  <c r="V37" i="1"/>
  <c r="S37" i="1"/>
  <c r="V36" i="1"/>
  <c r="S36" i="1"/>
  <c r="V35" i="1"/>
  <c r="S35" i="1"/>
  <c r="V34" i="1"/>
  <c r="S34" i="1"/>
  <c r="V33" i="1"/>
  <c r="S33" i="1"/>
  <c r="K20" i="1" l="1"/>
  <c r="P20" i="1"/>
  <c r="K26" i="1"/>
  <c r="P26" i="1"/>
  <c r="K56" i="1"/>
  <c r="Z56" i="1" s="1"/>
  <c r="P56" i="1"/>
  <c r="K32" i="1"/>
  <c r="Z32" i="1" s="1"/>
  <c r="AB56" i="1" l="1"/>
  <c r="Z57" i="1" s="1"/>
  <c r="AA56" i="1"/>
  <c r="AE56" i="1" s="1"/>
  <c r="AA32" i="1"/>
  <c r="AB32" i="1"/>
  <c r="Z33" i="1"/>
  <c r="AB57" i="1" l="1"/>
  <c r="AA57" i="1"/>
  <c r="AE57"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V18" i="1"/>
  <c r="V19" i="1"/>
  <c r="AA33" i="1" l="1"/>
  <c r="AB33" i="1"/>
  <c r="Z34" i="1" s="1"/>
  <c r="AA34" i="1" s="1"/>
  <c r="AB34" i="1" l="1"/>
  <c r="Z35" i="1" s="1"/>
  <c r="AA35" i="1" s="1"/>
  <c r="AB35" i="1" l="1"/>
  <c r="Z36" i="1" s="1"/>
  <c r="AB36" i="1" s="1"/>
  <c r="Z37" i="1" s="1"/>
  <c r="Z14" i="1"/>
  <c r="AA14" i="1" s="1"/>
  <c r="AA36" i="1" l="1"/>
  <c r="AA37" i="1"/>
  <c r="AB37" i="1"/>
  <c r="AB14" i="1" l="1"/>
  <c r="Z18" i="1" l="1"/>
  <c r="AA18" i="1" s="1"/>
  <c r="AB18" i="1" l="1"/>
  <c r="Z19" i="1" s="1"/>
  <c r="AA19" i="1" s="1"/>
  <c r="AB19" i="1" l="1"/>
  <c r="AD33" i="1" l="1"/>
  <c r="AD34" i="1" s="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33" i="1" l="1"/>
  <c r="W27" i="19"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D35" i="1"/>
  <c r="AC34"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D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K7" i="19" l="1"/>
  <c r="Q7" i="19"/>
  <c r="AI37" i="19"/>
  <c r="AC17" i="19"/>
  <c r="AC27" i="19"/>
  <c r="Q27" i="19"/>
  <c r="AI7" i="19"/>
  <c r="K17" i="19"/>
  <c r="W37" i="19"/>
  <c r="AI27" i="19"/>
  <c r="K27" i="19"/>
  <c r="AC37" i="19"/>
  <c r="W47" i="19"/>
  <c r="AI47" i="19"/>
  <c r="AC7" i="19"/>
  <c r="K47" i="19"/>
  <c r="Q17" i="19"/>
  <c r="K37" i="19"/>
  <c r="AI17" i="19"/>
  <c r="AE33" i="1"/>
  <c r="W7" i="19"/>
  <c r="Q47" i="19"/>
  <c r="Q37" i="19"/>
  <c r="AC47" i="19"/>
  <c r="W17" i="19"/>
  <c r="AC18" i="1"/>
  <c r="AD19" i="1"/>
  <c r="AC19"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AE34" i="1"/>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AC35" i="1"/>
  <c r="AD36"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35"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E19" i="1"/>
  <c r="AA6" i="19"/>
  <c r="AG6" i="19"/>
  <c r="AA46" i="19"/>
  <c r="AM26" i="19"/>
  <c r="U16" i="19"/>
  <c r="O36" i="19"/>
  <c r="U26" i="19"/>
  <c r="O46" i="19"/>
  <c r="AA26" i="19"/>
  <c r="AM6" i="19"/>
  <c r="U46" i="19"/>
  <c r="AG26" i="19"/>
  <c r="O16" i="19"/>
  <c r="AG36" i="19"/>
  <c r="O26" i="19"/>
  <c r="AM36" i="19"/>
  <c r="AD37" i="1"/>
  <c r="AC37" i="1" s="1"/>
  <c r="AC36" i="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E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E36"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E37"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I6" i="19" l="1"/>
  <c r="AI16" i="19"/>
  <c r="Q36" i="19"/>
  <c r="W6" i="19"/>
  <c r="W26" i="19"/>
  <c r="K26" i="19"/>
  <c r="W46" i="19"/>
  <c r="AI36" i="19"/>
  <c r="AI26" i="19"/>
  <c r="AC6" i="19"/>
  <c r="Q46" i="19"/>
  <c r="AC16" i="19"/>
  <c r="W36" i="19"/>
  <c r="AC36" i="19"/>
  <c r="K16" i="19"/>
  <c r="AC26" i="19"/>
  <c r="K46" i="19"/>
  <c r="AI46" i="19"/>
  <c r="AC46" i="19"/>
  <c r="Q6" i="19"/>
  <c r="W16" i="19"/>
  <c r="K36" i="19"/>
  <c r="Q26" i="19"/>
  <c r="K6" i="19"/>
  <c r="Q16" i="19"/>
  <c r="M68" i="1" l="1"/>
  <c r="N68" i="1" s="1"/>
  <c r="M14" i="1"/>
  <c r="N14" i="1" s="1"/>
  <c r="M62" i="1"/>
  <c r="N62" i="1" s="1"/>
  <c r="M32" i="1"/>
  <c r="N32" i="1" s="1"/>
  <c r="AF40" i="18" l="1"/>
  <c r="N8" i="18"/>
  <c r="T24" i="18"/>
  <c r="AL8" i="18"/>
  <c r="Z8" i="18"/>
  <c r="AF16" i="18"/>
  <c r="AL24" i="18"/>
  <c r="N24" i="18"/>
  <c r="AL32" i="18"/>
  <c r="AF24" i="18"/>
  <c r="AL40" i="18"/>
  <c r="AF8" i="18"/>
  <c r="Z32" i="18"/>
  <c r="N40" i="18"/>
  <c r="T40" i="18"/>
  <c r="T8" i="18"/>
  <c r="T32" i="18"/>
  <c r="Z24" i="18"/>
  <c r="AF32" i="18"/>
  <c r="Z16" i="18"/>
  <c r="N32" i="18"/>
  <c r="AL16" i="18"/>
  <c r="T16" i="18"/>
  <c r="Z40" i="18"/>
  <c r="N16" i="18"/>
  <c r="AJ10" i="18"/>
  <c r="L34" i="18"/>
  <c r="X34" i="18"/>
  <c r="L10" i="18"/>
  <c r="AJ42" i="18"/>
  <c r="R34" i="18"/>
  <c r="AJ18" i="18"/>
  <c r="AD18" i="18"/>
  <c r="X18" i="18"/>
  <c r="AD42" i="18"/>
  <c r="L18" i="18"/>
  <c r="AD26" i="18"/>
  <c r="X42" i="18"/>
  <c r="L42" i="18"/>
  <c r="X26" i="18"/>
  <c r="R18" i="18"/>
  <c r="R26" i="18"/>
  <c r="AJ26" i="18"/>
  <c r="AJ34" i="18"/>
  <c r="R10" i="18"/>
  <c r="R42" i="18"/>
  <c r="X10" i="18"/>
  <c r="AD34" i="18"/>
  <c r="L26" i="18"/>
  <c r="AD10" i="18"/>
  <c r="AD30" i="18"/>
  <c r="L38" i="18"/>
  <c r="AJ30" i="18"/>
  <c r="L22" i="18"/>
  <c r="AD38" i="18"/>
  <c r="L30" i="18"/>
  <c r="AJ6" i="18"/>
  <c r="X6" i="18"/>
  <c r="X22" i="18"/>
  <c r="R14" i="18"/>
  <c r="AJ38" i="18"/>
  <c r="AD14" i="18"/>
  <c r="R22" i="18"/>
  <c r="L6" i="18"/>
  <c r="AD22" i="18"/>
  <c r="R38" i="18"/>
  <c r="AD6" i="18"/>
  <c r="X30" i="18"/>
  <c r="L14" i="18"/>
  <c r="AJ22" i="18"/>
  <c r="X14" i="18"/>
  <c r="P32" i="1"/>
  <c r="R30" i="18"/>
  <c r="O32" i="1"/>
  <c r="AD32" i="1" s="1"/>
  <c r="AC32" i="1" s="1"/>
  <c r="AE32" i="1" s="1"/>
  <c r="AJ14" i="18"/>
  <c r="R6" i="18"/>
  <c r="X38" i="18"/>
  <c r="V6" i="18"/>
  <c r="AB38" i="18"/>
  <c r="AB22" i="18"/>
  <c r="AH38" i="18"/>
  <c r="AH30" i="18"/>
  <c r="AB6" i="18"/>
  <c r="V38" i="18"/>
  <c r="P30" i="18"/>
  <c r="P14" i="18"/>
  <c r="AB14" i="18"/>
  <c r="J14" i="18"/>
  <c r="P14" i="1"/>
  <c r="J6" i="18"/>
  <c r="J38" i="18"/>
  <c r="P6" i="18"/>
  <c r="V22" i="18"/>
  <c r="J22" i="18"/>
  <c r="V30" i="18"/>
  <c r="J30" i="18"/>
  <c r="AH22" i="18"/>
  <c r="AH6" i="18"/>
  <c r="P22" i="18"/>
  <c r="V14" i="18"/>
  <c r="O14" i="1"/>
  <c r="AD14" i="1" s="1"/>
  <c r="AC14" i="1" s="1"/>
  <c r="P38" i="18"/>
  <c r="AB30" i="18"/>
  <c r="AH14" i="18"/>
  <c r="Z22" i="18"/>
  <c r="Z38" i="18"/>
  <c r="AL38" i="18"/>
  <c r="T38" i="18"/>
  <c r="AF22" i="18"/>
  <c r="AL22" i="18"/>
  <c r="T30" i="18"/>
  <c r="AF14" i="18"/>
  <c r="N14" i="18"/>
  <c r="T22" i="18"/>
  <c r="N6" i="18"/>
  <c r="N30" i="18"/>
  <c r="T6" i="18"/>
  <c r="AL6" i="18"/>
  <c r="Z6" i="18"/>
  <c r="AL14" i="18"/>
  <c r="AF6" i="18"/>
  <c r="N38" i="18"/>
  <c r="Z30" i="18"/>
  <c r="AL30" i="18"/>
  <c r="AF30" i="18"/>
  <c r="N22" i="18"/>
  <c r="AF38" i="18"/>
  <c r="T14" i="18"/>
  <c r="Z14" i="18"/>
  <c r="AH10" i="18"/>
  <c r="AB26" i="18"/>
  <c r="P10" i="18"/>
  <c r="AH26" i="18"/>
  <c r="J10" i="18"/>
  <c r="AB10" i="18"/>
  <c r="P26" i="18"/>
  <c r="J42" i="18"/>
  <c r="V26" i="18"/>
  <c r="V34" i="18"/>
  <c r="AB42" i="18"/>
  <c r="J26" i="18"/>
  <c r="J18" i="18"/>
  <c r="V42" i="18"/>
  <c r="P34" i="18"/>
  <c r="V18" i="18"/>
  <c r="P42" i="18"/>
  <c r="AH18" i="18"/>
  <c r="P18" i="18"/>
  <c r="V10" i="18"/>
  <c r="J34" i="18"/>
  <c r="AH34" i="18"/>
  <c r="AB18" i="18"/>
  <c r="AB34" i="18"/>
  <c r="AH42" i="18"/>
  <c r="J8" i="18"/>
  <c r="J32" i="18"/>
  <c r="V40" i="18"/>
  <c r="AB24" i="18"/>
  <c r="V24" i="18"/>
  <c r="V32" i="18"/>
  <c r="AH24" i="18"/>
  <c r="P16" i="18"/>
  <c r="AB32" i="18"/>
  <c r="P8" i="18"/>
  <c r="J40" i="18"/>
  <c r="V16" i="18"/>
  <c r="P24" i="18"/>
  <c r="AB16" i="18"/>
  <c r="AH8" i="18"/>
  <c r="AB40" i="18"/>
  <c r="AH40" i="18"/>
  <c r="AB8" i="18"/>
  <c r="J16" i="18"/>
  <c r="AH16" i="18"/>
  <c r="AH32" i="18"/>
  <c r="P32" i="18"/>
  <c r="J24" i="18"/>
  <c r="V8" i="18"/>
  <c r="P40" i="18"/>
  <c r="L40" i="18"/>
  <c r="AD40" i="18"/>
  <c r="R24" i="18"/>
  <c r="AJ24" i="18"/>
  <c r="AJ32" i="18"/>
  <c r="L32" i="18"/>
  <c r="AJ8" i="18"/>
  <c r="AD32" i="18"/>
  <c r="AD24" i="18"/>
  <c r="X16" i="18"/>
  <c r="L24" i="18"/>
  <c r="L8" i="18"/>
  <c r="R32" i="18"/>
  <c r="X40" i="18"/>
  <c r="X8" i="18"/>
  <c r="R40" i="18"/>
  <c r="L16" i="18"/>
  <c r="X32" i="18"/>
  <c r="AD16" i="18"/>
  <c r="AD8" i="18"/>
  <c r="AJ16" i="18"/>
  <c r="X24" i="18"/>
  <c r="R16" i="18"/>
  <c r="AJ40" i="18"/>
  <c r="R8" i="18"/>
  <c r="O62" i="1"/>
  <c r="AD62" i="1" s="1"/>
  <c r="AC62" i="1" s="1"/>
  <c r="AE62" i="1" s="1"/>
  <c r="T26" i="18"/>
  <c r="AF26" i="18"/>
  <c r="Z10" i="18"/>
  <c r="Z34" i="18"/>
  <c r="AL34" i="18"/>
  <c r="AL10" i="18"/>
  <c r="Z18" i="18"/>
  <c r="T10" i="18"/>
  <c r="N26" i="18"/>
  <c r="Z42" i="18"/>
  <c r="N42" i="18"/>
  <c r="AF18" i="18"/>
  <c r="AL18" i="18"/>
  <c r="N34" i="18"/>
  <c r="AL42" i="18"/>
  <c r="AL26" i="18"/>
  <c r="T18" i="18"/>
  <c r="AF34" i="18"/>
  <c r="Z26" i="18"/>
  <c r="P62" i="1"/>
  <c r="T42" i="18"/>
  <c r="AF42" i="18"/>
  <c r="T34" i="18"/>
  <c r="N18" i="18"/>
  <c r="AF10" i="18"/>
  <c r="N10" i="18"/>
  <c r="O68" i="1"/>
  <c r="AH44" i="18"/>
  <c r="J28" i="18"/>
  <c r="J44" i="18"/>
  <c r="P12" i="18"/>
  <c r="AH28" i="18"/>
  <c r="V44" i="18"/>
  <c r="V28" i="18"/>
  <c r="J20" i="18"/>
  <c r="P68" i="1"/>
  <c r="V12" i="18"/>
  <c r="AB20" i="18"/>
  <c r="AB28" i="18"/>
  <c r="P28" i="18"/>
  <c r="AH36" i="18"/>
  <c r="P20" i="18"/>
  <c r="V20" i="18"/>
  <c r="AB12" i="18"/>
  <c r="P36" i="18"/>
  <c r="V36" i="18"/>
  <c r="AB36" i="18"/>
  <c r="AH12" i="18"/>
  <c r="P44" i="18"/>
  <c r="AH20" i="18"/>
  <c r="J36" i="18"/>
  <c r="J12" i="18"/>
  <c r="AB44" i="18"/>
  <c r="V24" i="19" l="1"/>
  <c r="AB24" i="19"/>
  <c r="AH34" i="19"/>
  <c r="V34" i="19"/>
  <c r="P24" i="19"/>
  <c r="J44" i="19"/>
  <c r="P44" i="19"/>
  <c r="AB14" i="19"/>
  <c r="AH24" i="19"/>
  <c r="J34" i="19"/>
  <c r="J54" i="19"/>
  <c r="AH14" i="19"/>
  <c r="P34" i="19"/>
  <c r="V14" i="19"/>
  <c r="AB44" i="19"/>
  <c r="P14" i="19"/>
  <c r="AH54" i="19"/>
  <c r="AB34" i="19"/>
  <c r="P54" i="19"/>
  <c r="J14" i="19"/>
  <c r="J24" i="19"/>
  <c r="AH44" i="19"/>
  <c r="V54" i="19"/>
  <c r="V44" i="19"/>
  <c r="AB54" i="19"/>
  <c r="AH20" i="19"/>
  <c r="P10" i="19"/>
  <c r="P30" i="19"/>
  <c r="AH30" i="19"/>
  <c r="AH50" i="19"/>
  <c r="P40" i="19"/>
  <c r="J30" i="19"/>
  <c r="AB50" i="19"/>
  <c r="V50" i="19"/>
  <c r="AH40" i="19"/>
  <c r="V10" i="19"/>
  <c r="V40" i="19"/>
  <c r="J40" i="19"/>
  <c r="V20" i="19"/>
  <c r="J50" i="19"/>
  <c r="P50" i="19"/>
  <c r="J10" i="19"/>
  <c r="P20" i="19"/>
  <c r="AB30" i="19"/>
  <c r="V30" i="19"/>
  <c r="AH10" i="19"/>
  <c r="AB40" i="19"/>
  <c r="AB10" i="19"/>
  <c r="AB20" i="19"/>
  <c r="J20" i="19"/>
  <c r="AB28" i="19"/>
  <c r="V38" i="19"/>
  <c r="AH28" i="19"/>
  <c r="AB38" i="19"/>
  <c r="V48" i="19"/>
  <c r="P8" i="19"/>
  <c r="V8" i="19"/>
  <c r="V18" i="19"/>
  <c r="P38" i="19"/>
  <c r="AH38" i="19"/>
  <c r="P48" i="19"/>
  <c r="AB18" i="19"/>
  <c r="J8" i="19"/>
  <c r="J18" i="19"/>
  <c r="AB48" i="19"/>
  <c r="AH48" i="19"/>
  <c r="AH18" i="19"/>
  <c r="J38" i="19"/>
  <c r="P18" i="19"/>
  <c r="J28" i="19"/>
  <c r="P28" i="19"/>
  <c r="J48" i="19"/>
  <c r="V28" i="19"/>
  <c r="AB8" i="19"/>
  <c r="AH8" i="19"/>
  <c r="J47" i="19"/>
  <c r="P47" i="19"/>
  <c r="P17" i="19"/>
  <c r="AB17" i="19"/>
  <c r="V27" i="19"/>
  <c r="J7" i="19"/>
  <c r="AH37" i="19"/>
  <c r="V47" i="19"/>
  <c r="AB27" i="19"/>
  <c r="AH7" i="19"/>
  <c r="V37" i="19"/>
  <c r="P27" i="19"/>
  <c r="J37" i="19"/>
  <c r="J27" i="19"/>
  <c r="P7" i="19"/>
  <c r="V7" i="19"/>
  <c r="J17" i="19"/>
  <c r="AH27" i="19"/>
  <c r="AB7" i="19"/>
  <c r="AH17" i="19"/>
  <c r="AH47" i="19"/>
  <c r="AB37" i="19"/>
  <c r="AB47" i="19"/>
  <c r="P37" i="19"/>
  <c r="V17" i="19"/>
  <c r="AH49" i="19"/>
  <c r="V39" i="19"/>
  <c r="J19" i="19"/>
  <c r="AB29" i="19"/>
  <c r="V49" i="19"/>
  <c r="AH29" i="19"/>
  <c r="P9" i="19"/>
  <c r="P29" i="19"/>
  <c r="V19" i="19"/>
  <c r="AB9" i="19"/>
  <c r="P39" i="19"/>
  <c r="V9" i="19"/>
  <c r="V29" i="19"/>
  <c r="P49" i="19"/>
  <c r="AH39" i="19"/>
  <c r="AB19" i="19"/>
  <c r="J39" i="19"/>
  <c r="AH9" i="19"/>
  <c r="J49" i="19"/>
  <c r="J9" i="19"/>
  <c r="AB39" i="19"/>
  <c r="J29" i="19"/>
  <c r="AB49" i="19"/>
  <c r="P19" i="19"/>
  <c r="AH19" i="19"/>
  <c r="V22" i="19"/>
  <c r="V12" i="19"/>
  <c r="AB12" i="19"/>
  <c r="V42" i="19"/>
  <c r="AH42" i="19"/>
  <c r="AH22" i="19"/>
  <c r="P22" i="19"/>
  <c r="J22" i="19"/>
  <c r="P52" i="19"/>
  <c r="P32" i="19"/>
  <c r="V32" i="19"/>
  <c r="P12" i="19"/>
  <c r="AH32" i="19"/>
  <c r="J42" i="19"/>
  <c r="AH12" i="19"/>
  <c r="AB42" i="19"/>
  <c r="AH52" i="19"/>
  <c r="AB32" i="19"/>
  <c r="J32" i="19"/>
  <c r="AB52" i="19"/>
  <c r="J12" i="19"/>
  <c r="AB22" i="19"/>
  <c r="P42" i="19"/>
  <c r="J52" i="19"/>
  <c r="V52" i="19"/>
  <c r="AB16" i="19"/>
  <c r="AH36" i="19"/>
  <c r="AE14" i="1"/>
  <c r="J36" i="19"/>
  <c r="V6" i="19"/>
  <c r="AH6" i="19"/>
  <c r="AB26" i="19"/>
  <c r="AH26" i="19"/>
  <c r="P26" i="19"/>
  <c r="AB36" i="19"/>
  <c r="AH46" i="19"/>
  <c r="J46" i="19"/>
  <c r="V46" i="19"/>
  <c r="AB46" i="19"/>
  <c r="J16" i="19"/>
  <c r="V16" i="19"/>
  <c r="AB6" i="19"/>
  <c r="AH16" i="19"/>
  <c r="P16" i="19"/>
  <c r="J6" i="19"/>
  <c r="V26" i="19"/>
  <c r="V36" i="19"/>
  <c r="P36" i="19"/>
  <c r="J26" i="19"/>
  <c r="P6" i="19"/>
  <c r="P46" i="19"/>
  <c r="AB33" i="19"/>
  <c r="AB43" i="19"/>
  <c r="P13" i="19"/>
  <c r="AH43" i="19"/>
  <c r="J13" i="19"/>
  <c r="AH33" i="19"/>
  <c r="AB13" i="19"/>
  <c r="AH23" i="19"/>
  <c r="V23" i="19"/>
  <c r="J33" i="19"/>
  <c r="V13" i="19"/>
  <c r="P43" i="19"/>
  <c r="J43" i="19"/>
  <c r="AH13" i="19"/>
  <c r="P33" i="19"/>
  <c r="AB23" i="19"/>
  <c r="AB53" i="19"/>
  <c r="P53" i="19"/>
  <c r="AH53" i="19"/>
  <c r="J23" i="19"/>
  <c r="V33" i="19"/>
  <c r="J53" i="19"/>
  <c r="V43" i="19"/>
  <c r="V53" i="19"/>
  <c r="P23" i="19"/>
  <c r="V11" i="19"/>
  <c r="AB41" i="19"/>
  <c r="J21" i="19"/>
  <c r="V41" i="19"/>
  <c r="P51" i="19"/>
  <c r="J51" i="19"/>
  <c r="P11" i="19"/>
  <c r="P31" i="19"/>
  <c r="AB21" i="19"/>
  <c r="AB31" i="19"/>
  <c r="V31" i="19"/>
  <c r="V21" i="19"/>
  <c r="AH51" i="19"/>
  <c r="AH41" i="19"/>
  <c r="AB51" i="19"/>
  <c r="AH21" i="19"/>
  <c r="AH31" i="19"/>
  <c r="AH11" i="19"/>
  <c r="J11" i="19"/>
  <c r="J31" i="19"/>
  <c r="P41" i="19"/>
  <c r="P21" i="19"/>
  <c r="AB11" i="19"/>
  <c r="V51" i="19"/>
  <c r="J41" i="19"/>
  <c r="B227" i="13"/>
  <c r="B226"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<sst xmlns="http://schemas.openxmlformats.org/spreadsheetml/2006/main" count="622" uniqueCount="403">
  <si>
    <t>Matriz Mapa Riesgos Fiscales</t>
  </si>
  <si>
    <t>Matriz Mapa de Riesgos Fiscales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</si>
  <si>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en entidades públicas, versión 6 – noviembre 2022 de la Función Pública</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</si>
  <si>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</si>
  <si>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</si>
  <si>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</si>
  <si>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 xml:space="preserve"> -  Hoja 2 Mapa de Riesgos Final: Encontrará la totalidad de la estructura para la identificación y valoración de los riesgos fiscales por proceso, programa o proyecto, acorde con el nivel de desagregación que la entidad considere necesaria.</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</si>
  <si>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</si>
  <si>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</si>
  <si>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</si>
  <si>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</si>
  <si>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</si>
  <si>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</si>
  <si>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</si>
  <si>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</si>
  <si>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</si>
  <si>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</si>
  <si>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</si>
  <si>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</si>
  <si>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Circunstancia Inmediata</t>
  </si>
  <si>
    <t>Situación o actividad por la que se presenta el riesgo, pero no constituye la causa principal o básica (causa raíz) del riesgo fiscal. Anexo 1. Catálogo Indicativo y Enunciativo de Puntos de riesgo fiscal y Circunstancias Inmediatas.</t>
  </si>
  <si>
    <t>Causa Raíz</t>
  </si>
  <si>
    <t>Causa Raíz (Causa Eficiente o Causa Adecuada): Es el evento (acción u omisión) que de presentarse es generador directo de un efecto dañoso sobre los bienes, recursos o intereses patrimoniales de naturaleza pública. Es la condición necesaria, de tal forma que, si ese hecho no se produce, el daño no se genera. Así las cosas, la causa raíz se asocia con aquel hecho potencial generador del daño.</t>
  </si>
  <si>
    <t>Descripción del Riesgo</t>
  </si>
  <si>
    <r>
      <t xml:space="preserve">Consolida o resume los análisis sobre impacto + circunstancia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Circunstancia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</si>
  <si>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</si>
  <si>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</si>
  <si>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</si>
  <si>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</si>
  <si>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</si>
  <si>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</si>
  <si>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</si>
  <si>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</si>
  <si>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</si>
  <si>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</si>
  <si>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</si>
  <si>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</si>
  <si>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</si>
  <si>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</si>
  <si>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</si>
  <si>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</si>
  <si>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</si>
  <si>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</si>
  <si>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</si>
  <si>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</si>
  <si>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</si>
  <si>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</si>
  <si>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</si>
  <si>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</si>
  <si>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</si>
  <si>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</si>
  <si>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</si>
  <si>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</si>
  <si>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</si>
  <si>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</si>
  <si>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</si>
  <si>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</si>
  <si>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</si>
  <si>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</si>
  <si>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</si>
  <si>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</si>
  <si>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</si>
  <si>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Anexo 1. Catálogo Indicativo y Enunciativo de Puntos de riesgo fiscal y Circunstancias Inmediatas.</t>
    </r>
  </si>
  <si>
    <t>Objetivo:</t>
  </si>
  <si>
    <t>Alcance:</t>
  </si>
  <si>
    <t>Identificación del riesgo</t>
  </si>
  <si>
    <t>Análisis del riesgo inherente</t>
  </si>
  <si>
    <t>Evaluación del riesgo - Valoración de los controles</t>
  </si>
  <si>
    <t>Evaluación del riesgo - Nivel del riesgo residual</t>
  </si>
  <si>
    <t>Plan de Acción</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</si>
  <si>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</si>
  <si>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</si>
  <si>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</si>
  <si>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</si>
  <si>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</si>
  <si>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</si>
  <si>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</si>
  <si>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</si>
  <si>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</si>
  <si>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</si>
  <si>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</si>
  <si>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</si>
  <si>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</si>
  <si>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</si>
  <si>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</si>
  <si>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</si>
  <si>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</si>
  <si>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</si>
  <si>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</si>
  <si>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</si>
  <si>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</si>
  <si>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</si>
  <si>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</si>
  <si>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t>
  </si>
  <si>
    <t>Ejecución de un alcance inferior al contratado y pago total del contrato</t>
  </si>
  <si>
    <t>Deficiencias en  las funciones de Supervisión e Interventoría de los contratos de la Entidad</t>
  </si>
  <si>
    <t>Posibilidad de efecto dañoso sobre recursos públicos por la ejecución de un alcance inferior al contratado y pago total del contrato, a causa de las deficiencias en las funciones de Supervisión e Interventoría de los contratos de la Entidad</t>
  </si>
  <si>
    <t>Ejecucion y Administracion de procesos</t>
  </si>
  <si>
    <t xml:space="preserve">     Entre 100 y 500 SMLMV </t>
  </si>
  <si>
    <t>El supervisor designado ejercerá el control y seguimiento a la ejecución contractual para verificar el cumplimiento de las condiciones y especificaciones técnicas pactadas y establecidas en la etapa precontractual, de acuerdo a las normas vigentes.</t>
  </si>
  <si>
    <t>Preventivo</t>
  </si>
  <si>
    <t>Manual</t>
  </si>
  <si>
    <t>Documentado</t>
  </si>
  <si>
    <t>Continua</t>
  </si>
  <si>
    <t>Con Registro</t>
  </si>
  <si>
    <t>Reducir (mitigar)</t>
  </si>
  <si>
    <t xml:space="preserve">Supervisores designados </t>
  </si>
  <si>
    <t xml:space="preserve">No inclusión en el contrato de seguros -amparo de bienes de la entidad- todos los bienes muebles e inmuebles de la entidad </t>
  </si>
  <si>
    <t>Profesional encargado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</si>
  <si>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</si>
  <si>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</si>
  <si>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</si>
  <si>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</si>
  <si>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</si>
  <si>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</si>
  <si>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</si>
  <si>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</si>
  <si>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</si>
  <si>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</si>
  <si>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</si>
  <si>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</si>
  <si>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</si>
  <si>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</si>
  <si>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</si>
  <si>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</si>
  <si>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</si>
  <si>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</si>
  <si>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</si>
  <si>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</si>
  <si>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</si>
  <si>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</si>
  <si>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</si>
  <si>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</si>
  <si>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</si>
  <si>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</si>
  <si>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</si>
  <si>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</si>
  <si>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</si>
  <si>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</si>
  <si>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</si>
  <si>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Insignificante</t>
  </si>
  <si>
    <t>Leve 20%</t>
  </si>
  <si>
    <t xml:space="preserve">Afectación menor a 10 SMLMV </t>
  </si>
  <si>
    <t>Menor</t>
  </si>
  <si>
    <t xml:space="preserve">Menor-40% </t>
  </si>
  <si>
    <t xml:space="preserve">Entre 10 y 50 SMLMV </t>
  </si>
  <si>
    <t>Moderado 60%</t>
  </si>
  <si>
    <t xml:space="preserve">Entre 50 y 100 SMLMV </t>
  </si>
  <si>
    <t>Mayor</t>
  </si>
  <si>
    <t>Mayor 80%</t>
  </si>
  <si>
    <t xml:space="preserve">Entre 100 y 500 SMLMV </t>
  </si>
  <si>
    <t>Catastrófico</t>
  </si>
  <si>
    <t>Catastrófico 100%</t>
  </si>
  <si>
    <t xml:space="preserve">Mayor a 500 SMLMV </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</si>
  <si>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</si>
  <si>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</si>
  <si>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</si>
  <si>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</si>
  <si>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</si>
  <si>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</si>
  <si>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</si>
  <si>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</si>
  <si>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</si>
  <si>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</si>
  <si>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</si>
  <si>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</si>
  <si>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</si>
  <si>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</si>
  <si>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</si>
  <si>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Pérdida Reputacional</t>
  </si>
  <si>
    <t>El riesgo afecta la imagen de alguna área de la organización</t>
  </si>
  <si>
    <t>El riesgo afecta la imagen de la entidad internamente, de conocimiento general, nivel interno, de junta dircetiva y accionistas y/o de provedores</t>
  </si>
  <si>
    <t>El riesgo afecta la imagen de la entidad con algunos usuarios de relevancia frente al logro de los objetivos</t>
  </si>
  <si>
    <t>El riesgo afecta la imagen de de la entidad con efecto publicitario sostenido a nivel de sector administrativo, nivel departamental o municipal</t>
  </si>
  <si>
    <t>El riesgo afecta la imagen de la entidad a nivel nacional, con efecto publicitarios sostenible a nivel país</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</si>
  <si>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</si>
  <si>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</si>
  <si>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</si>
  <si>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</si>
  <si>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</si>
  <si>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</si>
  <si>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</si>
  <si>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</si>
  <si>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</si>
  <si>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</si>
  <si>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</si>
  <si>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</si>
  <si>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</si>
  <si>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</si>
  <si>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</si>
  <si>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</si>
  <si>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</si>
  <si>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</si>
  <si>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</si>
  <si>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</si>
  <si>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</si>
  <si>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</si>
  <si>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</si>
  <si>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</si>
  <si>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</si>
  <si>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</si>
  <si>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</si>
  <si>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t xml:space="preserve">Página: </t>
    </r>
    <r>
      <rPr>
        <sz val="11"/>
        <rFont val="Arial"/>
        <family val="2"/>
      </rPr>
      <t xml:space="preserve">8 de 8 </t>
    </r>
  </si>
  <si>
    <t>ANEXO 1
CAPÍTULO: Identificación y valoración de Riesgos Fiscales y Diseño de Controles para su Prevención y Mitigación</t>
  </si>
  <si>
    <t>Dirección de Gestión y Desempeño Institucional
Bogotá D.C.
Noviembre 2022</t>
  </si>
  <si>
    <t>CATÁLOGO INDICATIVO Y ENUNCIATIVO DE PUNTOS DE RIESGO FISCAL Y 
CIRCUNSTANCIAS INMEDIATAS
(Anexo 1)</t>
  </si>
  <si>
    <r>
      <rPr>
        <b/>
        <sz val="11"/>
        <color theme="1"/>
        <rFont val="Arial Narrow"/>
        <family val="2"/>
      </rPr>
      <t xml:space="preserve">Introducción </t>
    </r>
    <r>
      <rPr>
        <sz val="11"/>
        <color theme="1"/>
        <rFont val="Arial Narrow"/>
        <family val="2"/>
      </rPr>
      <t xml:space="preserve">
Como resultado de la metodología de investigación que ha venido implementando el Semillero de Investigación de la Academia de la Gestión Pública desde el año 2018, fue posible identificar los principales puntos de riesgo fiscal y circunstancias inmediatas de dichos riesgos, mediante el estudio de:  i)  los avances que los diferentes órganos de control tienen frente a la definición de riesgo fiscal y la identificación de los principales riesgos fiscales en sus sujetos vigilados, ii) el estudio de fallos con responsabilidad fiscal en firme, emitidos tanto por contralorías territoriales como por la Contraloría General de la República.
Así las cosas, los puntos de riesgo fiscal que se enuncian en este catálogo indicativo y enunciativo corresponden a actividades que representan gestión fiscal, por ejemplo, aquellas de administración, gestión, ordenación, ejecución, manejo, adquisición, planeación, conservación, custodia, explotación, enajenación, consumo, adjudicación, gasto, inversión y disposición de los bienes o recursos públicos o intereses de naturaleza pública y que potencialmente pueden generar un efecto dañoso al patrimonio público.
Este listado enunciativo y no restrictivo, también posibilita identificar y conocer las Circunstancias Inmediatas más comunes en la gestión pública, que se derivan de los Puntos de Riesgo Fiscal.
Así las cosas, como resultado del análisis de más de 130 fallos con responsabilidad fiscal tanto de contralorías territoriales como de la Contraloría General de la República, fue posible identificar 50 puntos de riesgo fiscal e igual número de circunstancias inmediatas, así:</t>
    </r>
  </si>
  <si>
    <t>Id Referencia</t>
  </si>
  <si>
    <t>Puntos de Riesgo Fiscal</t>
  </si>
  <si>
    <t>Actividad en la que potencialmente se origina el riesgo fiscal</t>
  </si>
  <si>
    <r>
      <t xml:space="preserve">Situación </t>
    </r>
    <r>
      <rPr>
        <b/>
        <i/>
        <u/>
        <sz val="10"/>
        <color rgb="FF000000"/>
        <rFont val="Arial Narrow"/>
        <family val="2"/>
      </rPr>
      <t>por la que</t>
    </r>
    <r>
      <rPr>
        <i/>
        <sz val="10"/>
        <color rgb="FF000000"/>
        <rFont val="Arial Narrow"/>
        <family val="2"/>
      </rPr>
      <t xml:space="preserve"> se presenta el riesgo</t>
    </r>
  </si>
  <si>
    <t xml:space="preserve">Cumplimiento de las normas y obligaciones ante autoridades  </t>
  </si>
  <si>
    <t>Pago de multas, cláusulas penales o cualquier tipo de sanción</t>
  </si>
  <si>
    <t xml:space="preserve">Cumplimiento de obligaciones </t>
  </si>
  <si>
    <t>Pago de Intereses moratorios</t>
  </si>
  <si>
    <t xml:space="preserve">Desplazamientos de los funcionarios y de los contratistas a lugares diferentes al domicilio de la entidad.  </t>
  </si>
  <si>
    <t>Pago de viáticos, honorarios o gastos de desplazamiento sin justificación o por encima de los valores establecidos normativamente</t>
  </si>
  <si>
    <t>Liquidación de impuestos</t>
  </si>
  <si>
    <t>Mayor valor pagado por concepto de impuestos</t>
  </si>
  <si>
    <t xml:space="preserve">Operaciones, actas o actos en los que se reconocen saldos a favor de la entidad </t>
  </si>
  <si>
    <t>Saldos o recursos a favor no cobrados</t>
  </si>
  <si>
    <t>Custodia de los bienes muebles de la entidad</t>
  </si>
  <si>
    <t>Pérdida, extravío, hurto, robo o declaratoria de bienes faltantes pertenecientes a la Entidad</t>
  </si>
  <si>
    <t xml:space="preserve">Avalúos a bienes inmuebles de la entidad </t>
  </si>
  <si>
    <t>Error en los avalúos, afectando el valor de venta y/o negociación de un bien público</t>
  </si>
  <si>
    <t>Daño en bienes muebles de propiedad de la entidad</t>
  </si>
  <si>
    <t xml:space="preserve">Suscripción de contratos cuyo objeto es o incluye la representación judicial o extrajudicial de la entidad  </t>
  </si>
  <si>
    <t>Valor pagado por concepto de honorarios de apoderado cuando ocurre vencimiento de términos en los procesos judiciales o cualquier otra omisión del apoderado</t>
  </si>
  <si>
    <t xml:space="preserve">Pago de sentencias y conciliaciones </t>
  </si>
  <si>
    <t>Intereses moratorios por pago tardío de sentencias y conciliaciones</t>
  </si>
  <si>
    <t xml:space="preserve">Instrucción del Comité de Conciliación para iniciar acción de repetición </t>
  </si>
  <si>
    <t>Caducidad de la acción de repetición o falencias en el ejercicio de esta acción, generando la imposibilidad de recuperar los recursos pagados por el Estado</t>
  </si>
  <si>
    <t xml:space="preserve">Informe que acredite o anuncie la existencia de perjuicios generados a la entidad </t>
  </si>
  <si>
    <t xml:space="preserve">Omisión en la obligación de impulsar acción judicial para cobrar clausula penal u otros perjuicios </t>
  </si>
  <si>
    <t xml:space="preserve">Contratación de bienes o servicios </t>
  </si>
  <si>
    <t xml:space="preserve">Contratación de bienes y servicios no relacionados con las funciones de la Entidad y que no generan utilidad </t>
  </si>
  <si>
    <t xml:space="preserve">Contratación de bienes </t>
  </si>
  <si>
    <t>Compra o inversión en bienes innecesarios o suntuosos</t>
  </si>
  <si>
    <t xml:space="preserve">Contratación de estudios y diseños </t>
  </si>
  <si>
    <t>Estudios y diseños recibidos y pagados y que no cumplen condiciones de calidad</t>
  </si>
  <si>
    <t>Suscripción de contratos de estudios y diseños</t>
  </si>
  <si>
    <t>Estudios y diseños con amparo de calidad vencido al momento de contratar la obra y/o al momento de la ocurrencia</t>
  </si>
  <si>
    <t>Suscripción de contratos</t>
  </si>
  <si>
    <t xml:space="preserve">Sobrecostos en precios contractuales </t>
  </si>
  <si>
    <t xml:space="preserve">Pagos efectuados a causa de riesgos previsibles que debieron ser asignados al contratista en la matriz de riesgos previsibles y no se le asignaron    </t>
  </si>
  <si>
    <t xml:space="preserve">No incluir en el contrato de seguros -amparo de bienes de la entidad- todos los bienes muebles e inmuebles de la entidad </t>
  </si>
  <si>
    <t xml:space="preserve">No exigir garantía única de cumplimiento contractual </t>
  </si>
  <si>
    <t xml:space="preserve">Suscripción de contratos respecto de los cuales la ley establece un cubrimiento mínimo en los amparos de la garantía única de cumplimiento </t>
  </si>
  <si>
    <t xml:space="preserve">Exigir garantía única de cumplimiento contractual con un cubrimiento inferior al exigido por la ley </t>
  </si>
  <si>
    <t xml:space="preserve">Pagos efectuados a contratistas </t>
  </si>
  <si>
    <t xml:space="preserve">Pagar bienes, servicios u obras a pesar de no cumplir las condiciones de calidad. </t>
  </si>
  <si>
    <t xml:space="preserve">Constancias de recibo a satisfacción de bienes, servicios u obras, firmadas por supervisor o interventor </t>
  </si>
  <si>
    <t>Bienes, servicios u obras inconclusos, infuncionales y/o que no brindan utilidad o beneficio</t>
  </si>
  <si>
    <t xml:space="preserve">Modificaciones contractuales firmadas </t>
  </si>
  <si>
    <t>Modificaciones contractuales cuyas causas son imputables al contratista total o parcialmente y cuyos costos colaterales asume la Entidad contratante</t>
  </si>
  <si>
    <t xml:space="preserve">Giros efectuados por concepto de anticipo contractual </t>
  </si>
  <si>
    <t>Mal manejo o fallas en la legalización de anticipos, no amortización del anticipo</t>
  </si>
  <si>
    <t>Giros efectuados por concepto de anticipo contractual</t>
  </si>
  <si>
    <t>Rendimientos financieros de recursos de anticipo o de cualquier recurso público no devueltos al tesoro público</t>
  </si>
  <si>
    <t>Reconocimiento y pago de desequilibrio contractual</t>
  </si>
  <si>
    <t>Reconocimiento y pago de desequilibrio contractual por causa imputable a la Entidad</t>
  </si>
  <si>
    <t xml:space="preserve">Firma de actas contractuales de recibo parcial o final </t>
  </si>
  <si>
    <t>Errores o imprecisiones en las actas de recibo parcial o final</t>
  </si>
  <si>
    <t>Firma de adiciones de ítems, actividades o productos no previstos (contratos adicionales)</t>
  </si>
  <si>
    <t>Adición de ítem, actividad o producto no previsto sin estudio de mercado y/o con sobrecosto</t>
  </si>
  <si>
    <t>Firma de adiciones de ítems, actividades o productos inicialmente previstos (adiciones)</t>
  </si>
  <si>
    <t>Mayores cantidades reconocidas y pagadas con valores unitarios superiores al pactado en el contrato</t>
  </si>
  <si>
    <t xml:space="preserve">Actos administrativos sancionatorios contractuales emitidos y ejecutoriados </t>
  </si>
  <si>
    <t xml:space="preserve">Cuantificación errada de multa o clausula penal </t>
  </si>
  <si>
    <t xml:space="preserve">Obras recibidas a satisfacción </t>
  </si>
  <si>
    <t>Colapso o fallas en la estabilidad de la obra</t>
  </si>
  <si>
    <t>Pagos finales efectuados a contratistas</t>
  </si>
  <si>
    <t xml:space="preserve">Actas de recibo final a satisfacción firmadas </t>
  </si>
  <si>
    <t>Infuncionalidad de lo ejecutado</t>
  </si>
  <si>
    <t xml:space="preserve">Contratos finalizados </t>
  </si>
  <si>
    <t>Bienes, servicios u obras inconclusas y/o que no brindan utilidad o beneficio</t>
  </si>
  <si>
    <t xml:space="preserve">Inadecuada deducción de impuestos, tasas o contribuciones al contratista </t>
  </si>
  <si>
    <t xml:space="preserve">Pagos por concepto de comisión a éxito </t>
  </si>
  <si>
    <t>Pago de comisiones a éxito sin debida justificación</t>
  </si>
  <si>
    <t xml:space="preserve">Actas de liquidación suscritas </t>
  </si>
  <si>
    <t>Suscripción de acta de liquidación con imprecisiones de fondo</t>
  </si>
  <si>
    <t>Actas de liquidación suscritas</t>
  </si>
  <si>
    <t xml:space="preserve">Suscripción de acta de liquidación sin relacionar las sanciones impuestas al contratista </t>
  </si>
  <si>
    <t>Contratos finalizados en los que se contemplaba o requería liquidación.</t>
  </si>
  <si>
    <t>Pérdida de competencia para liquidar por vencimiento del plazo legal, con saldos a favor de la Entidad</t>
  </si>
  <si>
    <t>Liquidación de mutuo acuerdo con recibo a satisfacción, habiendo imprecisiones o falsedades</t>
  </si>
  <si>
    <t xml:space="preserve">Bienes u obras recibidas a satisfacción </t>
  </si>
  <si>
    <t>Deterioro del bien u obra por indebido mantenimiento</t>
  </si>
  <si>
    <t>Actas de recibo final a satisfacción firmadas</t>
  </si>
  <si>
    <t>Suscripción de acta de recibo final con imprecisiones de fondo</t>
  </si>
  <si>
    <t xml:space="preserve">Reintegro de saldos a favor de la entidad o pagos por parte de deudores </t>
  </si>
  <si>
    <t>Reintegro de saldos a favor de la entidad sin indexación (reintegro sin actualización del dinero en el tiempo)</t>
  </si>
  <si>
    <t xml:space="preserve">Predios adquiridos </t>
  </si>
  <si>
    <t>Adquisición de predios sin las especificaciones técnicas requeridas</t>
  </si>
  <si>
    <t xml:space="preserve">Pérdida de tenencia de bienes de la entidad </t>
  </si>
  <si>
    <t>Pérdida de la tenencia de bienes inmuebles de la Entidad</t>
  </si>
  <si>
    <t xml:space="preserve">Pago de subsidios, transferencias o beneficios a particulares </t>
  </si>
  <si>
    <t>Bases de datos con falencias de información que genera pagos de subsidios u otros beneficios sin el cumplimiento de requisitos y condiciones</t>
  </si>
  <si>
    <t>Pago de subsidios, transferencias o beneficios a particulares</t>
  </si>
  <si>
    <t>Pago de subsidio u otros beneficios a personas fallecidas</t>
  </si>
  <si>
    <t>Pago de subsidios u otros beneficios a personas que no tienen derecho a los mismos a la luz de requisitos de ley</t>
  </si>
  <si>
    <t>Pago de subsidios por encima del beneficio otorgado</t>
  </si>
  <si>
    <t xml:space="preserve">Deudas a favor de la entidad </t>
  </si>
  <si>
    <t xml:space="preserve">Vencimiento de plazos para la labor de cobro directo (persuasivo o coactivo) o judicial </t>
  </si>
  <si>
    <t xml:space="preserve">Fuente: Elaboración Dirección de Gestión y Desempeño Institucional. 2022 </t>
  </si>
  <si>
    <t>Este catálogo indicativo y enunciativo de puntos de riesgo fiscal y circunstancias Inmediatas, es el resultado del análisis de investigaciones previas y del estudio detallado de información sobre:
(i) Fallos con responsabilidad fiscal, en firme, emitidos en los últimos 3 años, por una muestra de 10 de las contralorías territoriales mejor calificadas en 2020, según el criterio de desempeño integral, el cual corresponde a evaluación realizada por la Auditoría General de la República. 
(ii) Muestra aleatoria de fallos con responsabilidad fiscal, en firme, emitidos por la Contraloría General de la República en los últimos 3 años.
(iii) Listado de hallazgos fiscales por temáticas, consolidado por la Auditoría General de la República, 2021.</t>
  </si>
  <si>
    <t>Carrera 6 No. 12-62, Bogotá, D.C., Colombia ● Teléfono: 601 7395656 ● Fax: 601 7395657 
Código Postal: 111711. www.funcionpublica.gov.co ● eva@funcionpublica.gov.co</t>
  </si>
  <si>
    <t>Aceptar</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</si>
  <si>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</si>
  <si>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</si>
  <si>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</si>
  <si>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</si>
  <si>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</si>
  <si>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</si>
  <si>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</si>
  <si>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</si>
  <si>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</si>
  <si>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</si>
  <si>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</si>
  <si>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</si>
  <si>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</si>
  <si>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</si>
  <si>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</si>
  <si>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ITEM</t>
  </si>
  <si>
    <t>REFERENCIA</t>
  </si>
  <si>
    <t>Pérdida, extravío, hurto, robo o declaratoria de bienes muebles faltantes pertenecientes a la entidad</t>
  </si>
  <si>
    <t>A causa de la omisión en la aplicación del procedimiento para actualización del inventario de bienes muebles</t>
  </si>
  <si>
    <t>Posibilidad de efecto dañoso sobre bienes por pérdida, extravío, hurto, robo o declaratoria de bienes muebles faltantes pertenecientes a la entidad, a causa de la omisión en la aplicación del procedimiento para actualización del inventario de bienes muebles</t>
  </si>
  <si>
    <t>RECURSO FISICO</t>
  </si>
  <si>
    <t xml:space="preserve">Pago de sanción e intereses moratorios. </t>
  </si>
  <si>
    <t>Mayores valores pagados en la nómina</t>
  </si>
  <si>
    <t>Inconsistencias en la información reportada en el software de nómina de la entidad.</t>
  </si>
  <si>
    <t>Posibilidad de efecto dañoso sobre recursos públicos por mayores valores pagados en la nómina, a causa de inconsistencias en la información reportada en el software de nómina de la entidad.</t>
  </si>
  <si>
    <t>El funcionario emitirá lineamientos a los supervisores de los contratos con el fin de que estos ejerza el control y seguimiento a la ejecución contractual para verificar el cumplimiento de las condiciones y especificaciones técnicas pactadas y establecidas en la etapa precontractual, de acuerdo a las normas vigentes.</t>
  </si>
  <si>
    <t>preventivo</t>
  </si>
  <si>
    <t xml:space="preserve">Profesional encargado </t>
  </si>
  <si>
    <t>Pagar bienes, servicios u obras  a pesar de no cumplir las condiciones de calidad</t>
  </si>
  <si>
    <t>Obras recibidas a satisfacción</t>
  </si>
  <si>
    <t>Colapso o fallas en la estabiilidad  de la obra</t>
  </si>
  <si>
    <t>El profesional encargado verifica que los bienes, servicios, obras cumplan con la condiciones de calidad de acuerdo al requerimiento para lo cual fue contratado</t>
  </si>
  <si>
    <t>FINANCIERA &amp; PRESUPUESTAL</t>
  </si>
  <si>
    <t xml:space="preserve"> Trámite inoportuno a los requerimientos PQRSD  remitidos por los entes de control y vigilancia, ciudadania , afiliados , de acuerdo con sus linemientos y términos de ley </t>
  </si>
  <si>
    <t xml:space="preserve">Posibilidad de efecto dañoso sobre recursos públicos por pago de sanción e intereses moratorios, a causa del trámite inoportuno a los requerimientos  PQRSD de los entes de control y vigilancia, de acuerdo con sus lineamientos y términos de ley </t>
  </si>
  <si>
    <t>JURIDICO &amp; CONTRACTUAL</t>
  </si>
  <si>
    <t xml:space="preserve">Realizar un seguimiento a las condiciones de la garantía:  Integridad de la Póliza, Vigencia y Valores, amparos exigidos de acuerdo a lo estipulado en el contrato suscrito dando aplicación al  Manual de Contratación </t>
  </si>
  <si>
    <t>Servidores públicos- Profesional encargado del área de inventarios.(contador)</t>
  </si>
  <si>
    <t xml:space="preserve">Realizar un (01) informe trismestral  sobre el cumplimiento de las respuestas a los entes de control y vigilancia, ciudadania y afiliados , conforme a solicitudes asignada por  competencia a las dependencias de la CPSM, </t>
  </si>
  <si>
    <t>Secretario ejecutivo</t>
  </si>
  <si>
    <t>Profesional encargado contador</t>
  </si>
  <si>
    <t>JURIDICO &amp; CONTACTUAL  /  SECRETARIA EJECUTIVA/ SISTEMAS</t>
  </si>
  <si>
    <t>El secretario ejecutivo asignado a al ventanilla unica,   revisará y dará  trámite oportuno a las PQRSD allegadas al  correo institucional   contactenos@cpsm.gov.co y aplicativos Cesantias y PQRSD pagina web , las cuales seran remitidas   a los responsables con el fin de dar  trámite en los términos de ley.</t>
  </si>
  <si>
    <t>Subdirección Juridica
Demas dependencias</t>
  </si>
  <si>
    <t>Profesional encargado sistemas</t>
  </si>
  <si>
    <t xml:space="preserve">El profesional  de sistemas revisa la  infraestructura tecnologica de la pagina web de la entidad a traves de actividades de monitoreo en cuanto a funcionamiento optimo de los aplicativos </t>
  </si>
  <si>
    <t>JURIDICO &amp; CONTACTUAL  /  SUBADMINISTRATIVA/ SISTEMAS</t>
  </si>
  <si>
    <t>Identificar los riesgos fiscales que tienen una probabilidad de ocurrir y  mitigarlos con acciones preventivas que reduzcan su impacto dentro del normal desarrollo de los procesos internos de la entidad</t>
  </si>
  <si>
    <t>Fortalecer el cumplimiento de la politica de administracion de riesgops -fiscales  en pro de mitigar los riesgos identificados en etapas contractuales - administrativas  y de direccionamiento estrategico</t>
  </si>
  <si>
    <t>Errores en la liquidación y cálculo de la retención en la fuente practicada a los funcionarios de la CPSM</t>
  </si>
  <si>
    <t xml:space="preserve">Ausencia de controles preventivos y detectivos en el proceso de la liquidación de la retención en la fuente de ingresos laborales de los funcionarios </t>
  </si>
  <si>
    <t>Posibilidad de efecto dañoso sobre recursos públicos por errores en la liquidación y cálculo de la retención en la fuente practicadaa los funcionarios de la CPSM , a causa de la Ausencia de controles preventivos y detectivos en el proceso de liquidación.</t>
  </si>
  <si>
    <t xml:space="preserve">Realizar un (1)  informe  de monitoreo  de las actividades programadas según cronograma de trabajo para el normal sosteniemiento de la pagina web de la entidad. </t>
  </si>
  <si>
    <t xml:space="preserve">La secretaria ejecutiva encargada de dar trázabilidad oportuna a los requerimientos  ´PQRSD de los entes de control y vigilancia, afiliados y ciudadania en general  verifica los terminos de respuesta  de acuerdo con los linemientos y la normatividad vigente </t>
  </si>
  <si>
    <t>Mantener actualizado el procedimiento de liquidacion de retencion en la fuente por salarios,</t>
  </si>
  <si>
    <t>SUDIRECCION ADMINISTRATIVA</t>
  </si>
  <si>
    <t>No cobro de incapacidades</t>
  </si>
  <si>
    <t xml:space="preserve">No gestion oportuna del cobro de incapacidades </t>
  </si>
  <si>
    <t xml:space="preserve">Posibilidad de efecto dañoso por el no cobro de incapacidades </t>
  </si>
  <si>
    <t xml:space="preserve">
Soporte radicado de cobro de  de las incapacidades generadas por los servidores publicos que sean mayores a 3 dias  ante la eps y su respectivo trazabilidad de pago a la CPSM</t>
  </si>
  <si>
    <t>FORMATO MATRIZ MAPA DE RIESGOS FISCALES</t>
  </si>
  <si>
    <t>VERSIÓN</t>
  </si>
  <si>
    <t>ELABORÓ</t>
  </si>
  <si>
    <t>REVISÓ</t>
  </si>
  <si>
    <t>APROBÓ</t>
  </si>
  <si>
    <t>PROCESO GESTIÓN DIRECCIÓN Y PLANEACIÓN</t>
  </si>
  <si>
    <t>2. CONTROL DE CAMBIOS</t>
  </si>
  <si>
    <t>FECHA DE APROBACIÓN</t>
  </si>
  <si>
    <t>DESCRIPCIÓN DE AJUSTES</t>
  </si>
  <si>
    <r>
      <rPr>
        <b/>
        <sz val="11"/>
        <color indexed="8"/>
        <rFont val="Verdana"/>
        <family val="2"/>
      </rPr>
      <t>Código</t>
    </r>
    <r>
      <rPr>
        <sz val="11"/>
        <color indexed="8"/>
        <rFont val="Verdana"/>
        <family val="2"/>
      </rPr>
      <t>: GDP-F003</t>
    </r>
  </si>
  <si>
    <r>
      <rPr>
        <b/>
        <sz val="11"/>
        <color indexed="8"/>
        <rFont val="Verdana"/>
        <family val="2"/>
      </rPr>
      <t>Versión</t>
    </r>
    <r>
      <rPr>
        <sz val="11"/>
        <color indexed="8"/>
        <rFont val="Verdana"/>
        <family val="2"/>
      </rPr>
      <t>: 0</t>
    </r>
  </si>
  <si>
    <r>
      <t xml:space="preserve">Página: </t>
    </r>
    <r>
      <rPr>
        <sz val="11"/>
        <rFont val="Verdana"/>
        <family val="2"/>
      </rPr>
      <t>1 de 1</t>
    </r>
  </si>
  <si>
    <r>
      <rPr>
        <b/>
        <sz val="11"/>
        <color theme="9" tint="-0.249977111117893"/>
        <rFont val="Verdana"/>
        <family val="2"/>
      </rPr>
      <t xml:space="preserve">*Nota: </t>
    </r>
    <r>
      <rPr>
        <sz val="11"/>
        <color theme="1"/>
        <rFont val="Verdana"/>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</si>
  <si>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t xml:space="preserve">Fecha de Aprobación:
</t>
    </r>
    <r>
      <rPr>
        <sz val="11"/>
        <rFont val="Verdana"/>
        <family val="2"/>
      </rPr>
      <t>22/01/2025</t>
    </r>
  </si>
  <si>
    <r>
      <t xml:space="preserve">Liliana M. Delgado C.
</t>
    </r>
    <r>
      <rPr>
        <i/>
        <sz val="10"/>
        <rFont val="Verdana"/>
        <family val="2"/>
      </rPr>
      <t>Profesional de Calidad</t>
    </r>
  </si>
  <si>
    <r>
      <t xml:space="preserve">Alejandra Serrano Rueda
</t>
    </r>
    <r>
      <rPr>
        <i/>
        <sz val="10"/>
        <rFont val="Verdana"/>
        <family val="2"/>
      </rPr>
      <t>Directora General</t>
    </r>
  </si>
  <si>
    <r>
      <t xml:space="preserve">Alejandra Serrano Rueda
</t>
    </r>
    <r>
      <rPr>
        <i/>
        <sz val="10"/>
        <rFont val="Verdana"/>
        <family val="2"/>
      </rPr>
      <t xml:space="preserve">Directora General
APROBADO EN COMITÉ MIPG ACTA N 004 2025 DEL 22/01/2025
</t>
    </r>
  </si>
  <si>
    <t>Emision Inicial del mapa de Riesgos Fiscales- APROBADO EN COMITÉ MIPG ACTA N 004 2025 DEL 22/01/2025</t>
  </si>
  <si>
    <t>31/12/2025</t>
  </si>
  <si>
    <t>La Subdireccion Juridica- contratacion  verifica que  las condiciones de las garantias: Integridad de la Póliza, Vigencia y Valores, amparos exigidos en el contrato suscrito este dando aplicacion a lo suscrito en el  Manual de Contratación CPSM VIG 2024</t>
  </si>
  <si>
    <t xml:space="preserve">Mediante Correo Electronico la Subdireccion Juridica emitira los lineamientos a tener en cuenta por parte de los supervisores de contrato recordando el deber de dar cumplimiento a las obligaciones estipuladas conforme lo señala los Articulos 82, 83 y 84 de la Ley 1474 de 2011 y el Manual de Contrataciòn </t>
  </si>
  <si>
    <t>Certificacion de trazabilidad de pagos, emitida por Tesorero General</t>
  </si>
  <si>
    <t>Tesorero General</t>
  </si>
  <si>
    <t>Realizar el  informe final de supervisión e interventor de la obra</t>
  </si>
  <si>
    <t>Mediante seguimiento y/o auditoria se verifica que el funcionario tenga los articulos de propiedad planta y equipo mediante acta de entrega del programa de inventarios GD.</t>
  </si>
  <si>
    <t>Realizar un seguimiento y/o auditorias a los articulos de propiedad planta y equipo asignado a los funcionarios de la CPSM</t>
  </si>
  <si>
    <t xml:space="preserve">La persona encargada de nómina verifica la información arrojada por el sistema GD NOMINA, en cuanto a salarios y prestaciones sociales.
</t>
  </si>
  <si>
    <t>Verifica las liquidaciones realizadas en el gd Nomina; para el caso de prestacines sociales se elabora un excel para realizar para cotejar lo arrojado en GD.</t>
  </si>
  <si>
    <t xml:space="preserve">El profesional Universitario contador  elabora mediante procedimiento establecido por la DIAN el calculode la retencion  a aplicar a cada funcionario.
La persona encargada de Nomina, verifica que el valor arrojado en gd nomina coincida con el valor dado por el contador en el formato de la DIAN 
</t>
  </si>
  <si>
    <t>El Subdirector Administrativo debera tramitar el cobro de las incapacidades superiores a 3 dias ante la EPS y realizar el seguimiento de que las incapacidades sean pagadas a la Entidad en el menor tiempo posible</t>
  </si>
  <si>
    <t>Subdirector Administrativo</t>
  </si>
  <si>
    <t>Posibilidad de efecto dañoso sobre recursos públicos por la no inclusión en el contrato de seguros -amparo de bienes de la entidad- todos los bienes muebles e inmuebles de la entidad , a causa del incumplimiento en la cobertura de las garantías que amparan los riesgos definidos en la etapa precontractual de acuerdo al Manual de Contratación  CPSM VIG 2024</t>
  </si>
  <si>
    <t>Incumplimiento en la cobertura de las garantías que amparan los riesgos definidos en la etapa precontractual de acuerdo al Manual de Contratación  CPSM VIG 2024</t>
  </si>
  <si>
    <t>La subdirección juridica implementara politica a fin de ejercer la Defensa de los intereses y procesos juridicos (demandas y litigios)  de la CPSM  en aras de prevenir el Daño Antijurídico contra la entidad</t>
  </si>
  <si>
    <t xml:space="preserve">
Socializar a todos los funcionarios CPSM sobre la Politica Defensa juridica  
De igual forma socializar los procesos en contra de la CPSM en comité de conciliación,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</si>
</sst>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1"/>
      <color theme="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b/>
      <sz val="14"/>
      <color theme="1"/>
      <name val="Arial Narrow"/>
      <family val="2"/>
    </font>
    <font>
      <sz val="11"/>
      <color rgb="FF030303"/>
      <name val="Arial"/>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6" tint="-0.249977111117893"/>
      <name val="Arial Narrow"/>
      <family val="2"/>
    </font>
    <font>
      <i/>
      <sz val="11"/>
      <color theme="1"/>
      <name val="Arial Narrow"/>
      <family val="2"/>
    </font>
    <font>
      <b/>
      <sz val="10"/>
      <color theme="1"/>
      <name val="Arial Narrow"/>
      <family val="2"/>
    </font>
    <font>
      <i/>
      <sz val="10"/>
      <color theme="1"/>
      <name val="Arial Narrow"/>
      <family val="2"/>
    </font>
    <font>
      <i/>
      <sz val="10"/>
      <color rgb="FF000000"/>
      <name val="Arial Narrow"/>
      <family val="2"/>
    </font>
    <font>
      <b/>
      <i/>
      <u/>
      <sz val="10"/>
      <color rgb="FF000000"/>
      <name val="Arial Narrow"/>
      <family val="2"/>
    </font>
    <font>
      <b/>
      <sz val="11"/>
      <name val="Arial"/>
      <family val="2"/>
    </font>
    <font>
      <sz val="11"/>
      <name val="Arial"/>
      <family val="2"/>
    </font>
    <font>
      <sz val="12"/>
      <color theme="1"/>
      <name val="Arial"/>
      <family val="2"/>
    </font>
    <font>
      <sz val="20"/>
      <color theme="1"/>
      <name val="Arial"/>
      <family val="2"/>
    </font>
    <font>
      <sz val="11"/>
      <color theme="1"/>
      <name val="Arial"/>
      <family val="2"/>
    </font>
    <font>
      <b/>
      <sz val="26"/>
      <color theme="1"/>
      <name val="Arial"/>
      <family val="2"/>
    </font>
    <font>
      <b/>
      <sz val="24"/>
      <color rgb="FF000000"/>
      <name val="Arial"/>
      <family val="2"/>
    </font>
    <font>
      <sz val="11"/>
      <color theme="0"/>
      <name val="Arial"/>
      <family val="2"/>
    </font>
    <font>
      <sz val="26"/>
      <color rgb="FF000000"/>
      <name val="Arial"/>
      <family val="2"/>
    </font>
    <font>
      <sz val="26"/>
      <color rgb="FFFFFFFF"/>
      <name val="Arial"/>
      <family val="2"/>
    </font>
    <font>
      <sz val="16"/>
      <color rgb="FF000000"/>
      <name val="Arial"/>
      <family val="2"/>
    </font>
    <font>
      <b/>
      <sz val="11"/>
      <color theme="1"/>
      <name val="Arial"/>
      <family val="2"/>
    </font>
    <font>
      <sz val="16"/>
      <color rgb="FFFF0000"/>
      <name val="Arial"/>
      <family val="2"/>
    </font>
    <font>
      <sz val="11"/>
      <color rgb="FFFF0000"/>
      <name val="Arial"/>
      <family val="2"/>
    </font>
    <font>
      <b/>
      <sz val="18"/>
      <color theme="1"/>
      <name val="Arial"/>
      <family val="2"/>
    </font>
    <font>
      <sz val="14"/>
      <name val="Arial"/>
      <family val="2"/>
    </font>
    <font>
      <b/>
      <sz val="14"/>
      <color rgb="FF000000"/>
      <name val="Arial"/>
      <family val="2"/>
    </font>
    <font>
      <sz val="14"/>
      <color rgb="FF000000"/>
      <name val="Arial"/>
      <family val="2"/>
    </font>
    <font>
      <sz val="14"/>
      <color rgb="FFFFFFFF"/>
      <name val="Arial"/>
      <family val="2"/>
    </font>
    <font>
      <sz val="10"/>
      <color theme="1"/>
      <name val="Verdana"/>
      <family val="2"/>
    </font>
    <font>
      <b/>
      <sz val="10"/>
      <color theme="1"/>
      <name val="Verdana"/>
      <family val="2"/>
    </font>
    <font>
      <sz val="10"/>
      <color rgb="FF0070C0"/>
      <name val="Verdana"/>
      <family val="2"/>
    </font>
    <font>
      <sz val="10"/>
      <color rgb="FFFF0000"/>
      <name val="Verdana"/>
      <family val="2"/>
    </font>
    <font>
      <sz val="11"/>
      <color theme="1"/>
      <name val="Verdana"/>
      <family val="2"/>
    </font>
    <font>
      <b/>
      <sz val="11"/>
      <name val="Verdana"/>
      <family val="2"/>
    </font>
    <font>
      <sz val="11"/>
      <color indexed="8"/>
      <name val="Verdana"/>
      <family val="2"/>
    </font>
    <font>
      <b/>
      <sz val="11"/>
      <color indexed="8"/>
      <name val="Verdana"/>
      <family val="2"/>
    </font>
    <font>
      <sz val="11"/>
      <name val="Verdana"/>
      <family val="2"/>
    </font>
    <font>
      <b/>
      <sz val="11"/>
      <color theme="1"/>
      <name val="Verdana"/>
      <family val="2"/>
    </font>
    <font>
      <b/>
      <sz val="11"/>
      <color rgb="FF0070C0"/>
      <name val="Verdana"/>
      <family val="2"/>
    </font>
    <font>
      <b/>
      <sz val="11"/>
      <color theme="9" tint="-0.249977111117893"/>
      <name val="Verdana"/>
      <family val="2"/>
    </font>
    <font>
      <sz val="10"/>
      <name val="Verdana"/>
      <family val="2"/>
    </font>
    <font>
      <i/>
      <sz val="10"/>
      <name val="Verdana"/>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7"/>
        <bgColor indexed="64"/>
      </patternFill>
    </fill>
  </fills>
  <borders count="8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dashed">
        <color rgb="FFE26B0A"/>
      </left>
      <right style="dashed">
        <color rgb="FFE26B0A"/>
      </right>
      <top/>
      <bottom/>
      <diagonal/>
    </border>
    <border>
      <left style="dashed">
        <color rgb="FFE26B0A"/>
      </left>
      <right style="dashed">
        <color rgb="FFE26B0A"/>
      </right>
      <top style="dashed">
        <color rgb="FFE26B0A"/>
      </top>
      <bottom style="dashed">
        <color rgb="FFE26B0A"/>
      </bottom>
      <diagonal/>
    </border>
    <border>
      <left style="dashed">
        <color theme="9" tint="-0.24994659260841701"/>
      </left>
      <right style="dashed">
        <color rgb="FFE26B0A"/>
      </right>
      <top style="dashed">
        <color theme="9" tint="-0.24994659260841701"/>
      </top>
      <bottom/>
      <diagonal/>
    </border>
    <border>
      <left style="dashed">
        <color theme="9" tint="-0.24994659260841701"/>
      </left>
      <right style="dashed">
        <color rgb="FFE26B0A"/>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style="dashed">
        <color theme="9" tint="-0.24994659260841701"/>
      </top>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style="dashed">
        <color theme="9" tint="-0.24994659260841701"/>
      </top>
      <bottom/>
      <diagonal/>
    </border>
    <border>
      <left style="dashed">
        <color rgb="FFE26B0A"/>
      </left>
      <right style="dashed">
        <color theme="9" tint="-0.24994659260841701"/>
      </right>
      <top/>
      <bottom/>
      <diagonal/>
    </border>
    <border>
      <left style="dashed">
        <color rgb="FFE26B0A"/>
      </left>
      <right style="dashed">
        <color theme="9" tint="-0.24994659260841701"/>
      </right>
      <top/>
      <bottom style="dashed">
        <color theme="9" tint="-0.24994659260841701"/>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ashed">
        <color theme="9" tint="-0.24994659260841701"/>
      </bottom>
      <diagonal/>
    </border>
    <border>
      <left/>
      <right/>
      <top style="double">
        <color indexed="64"/>
      </top>
      <bottom style="dashed">
        <color theme="9" tint="-0.24994659260841701"/>
      </bottom>
      <diagonal/>
    </border>
    <border>
      <left/>
      <right style="dashed">
        <color theme="9" tint="-0.24994659260841701"/>
      </right>
      <top style="double">
        <color indexed="64"/>
      </top>
      <bottom style="dashed">
        <color theme="9" tint="-0.24994659260841701"/>
      </bottom>
      <diagonal/>
    </border>
    <border>
      <left style="dashed">
        <color theme="9" tint="-0.24994659260841701"/>
      </left>
      <right/>
      <top style="double">
        <color indexed="64"/>
      </top>
      <bottom style="dashed">
        <color theme="9" tint="-0.24994659260841701"/>
      </bottom>
      <diagonal/>
    </border>
    <border>
      <left/>
      <right style="double">
        <color indexed="64"/>
      </right>
      <top style="double">
        <color indexed="64"/>
      </top>
      <bottom style="dashed">
        <color theme="9" tint="-0.24994659260841701"/>
      </bottom>
      <diagonal/>
    </border>
    <border>
      <left style="double">
        <color indexed="64"/>
      </left>
      <right style="dashed">
        <color theme="9" tint="-0.24994659260841701"/>
      </right>
      <top style="dashed">
        <color theme="9" tint="-0.24994659260841701"/>
      </top>
      <bottom/>
      <diagonal/>
    </border>
    <border>
      <left style="dashed">
        <color theme="9" tint="-0.24994659260841701"/>
      </left>
      <right style="double">
        <color indexed="64"/>
      </right>
      <top style="dashed">
        <color theme="9" tint="-0.24994659260841701"/>
      </top>
      <bottom style="dashed">
        <color theme="9" tint="-0.24994659260841701"/>
      </bottom>
      <diagonal/>
    </border>
    <border>
      <left style="double">
        <color indexed="64"/>
      </left>
      <right style="dashed">
        <color theme="9" tint="-0.24994659260841701"/>
      </right>
      <top/>
      <bottom style="double">
        <color indexed="64"/>
      </bottom>
      <diagonal/>
    </border>
    <border>
      <left style="dashed">
        <color theme="9" tint="-0.24994659260841701"/>
      </left>
      <right style="dashed">
        <color theme="9" tint="-0.24994659260841701"/>
      </right>
      <top/>
      <bottom style="double">
        <color indexed="64"/>
      </bottom>
      <diagonal/>
    </border>
    <border>
      <left style="dashed">
        <color theme="9" tint="-0.24994659260841701"/>
      </left>
      <right style="dashed">
        <color theme="9" tint="-0.24994659260841701"/>
      </right>
      <top style="dashed">
        <color theme="9" tint="-0.24994659260841701"/>
      </top>
      <bottom style="double">
        <color indexed="64"/>
      </bottom>
      <diagonal/>
    </border>
    <border>
      <left style="dashed">
        <color theme="9" tint="-0.24994659260841701"/>
      </left>
      <right/>
      <top/>
      <bottom style="double">
        <color indexed="64"/>
      </bottom>
      <diagonal/>
    </border>
    <border>
      <left style="dashed">
        <color theme="9" tint="-0.24994659260841701"/>
      </left>
      <right style="double">
        <color indexed="64"/>
      </right>
      <top style="dashed">
        <color theme="9" tint="-0.24994659260841701"/>
      </top>
      <bottom style="double">
        <color indexed="64"/>
      </bottom>
      <diagonal/>
    </border>
    <border>
      <left style="double">
        <color indexed="64"/>
      </left>
      <right style="dashed">
        <color theme="9" tint="-0.24994659260841701"/>
      </right>
      <top style="double">
        <color indexed="64"/>
      </top>
      <bottom/>
      <diagonal/>
    </border>
    <border>
      <left style="dashed">
        <color theme="9" tint="-0.24994659260841701"/>
      </left>
      <right style="dashed">
        <color theme="9" tint="-0.24994659260841701"/>
      </right>
      <top style="double">
        <color indexed="64"/>
      </top>
      <bottom/>
      <diagonal/>
    </border>
    <border>
      <left style="dashed">
        <color theme="9" tint="-0.24994659260841701"/>
      </left>
      <right style="dashed">
        <color theme="9" tint="-0.24994659260841701"/>
      </right>
      <top style="double">
        <color indexed="64"/>
      </top>
      <bottom style="dashed">
        <color theme="9" tint="-0.24994659260841701"/>
      </bottom>
      <diagonal/>
    </border>
    <border>
      <left style="dashed">
        <color theme="9" tint="-0.24994659260841701"/>
      </left>
      <right style="double">
        <color indexed="64"/>
      </right>
      <top style="double">
        <color indexed="64"/>
      </top>
      <bottom style="dashed">
        <color theme="9" tint="-0.24994659260841701"/>
      </bottom>
      <diagonal/>
    </border>
    <border>
      <left style="double">
        <color indexed="64"/>
      </left>
      <right style="dashed">
        <color theme="9" tint="-0.24994659260841701"/>
      </right>
      <top/>
      <bottom/>
      <diagonal/>
    </border>
    <border>
      <left style="double">
        <color indexed="64"/>
      </left>
      <right style="dashed">
        <color theme="9" tint="-0.24994659260841701"/>
      </right>
      <top/>
      <bottom style="dashed">
        <color theme="9" tint="-0.24994659260841701"/>
      </bottom>
      <diagonal/>
    </border>
    <border>
      <left/>
      <right/>
      <top style="thin">
        <color indexed="64"/>
      </top>
      <bottom/>
      <diagonal/>
    </border>
    <border>
      <left/>
      <right/>
      <top/>
      <bottom style="thin">
        <color indexed="64"/>
      </bottom>
      <diagonal/>
    </border>
  </borders>
  <cellStyleXfs count="5">
    <xf numFmtId="0" fontId="0" fillId="0" borderId="0"/>
    <xf numFmtId="9" fontId="8" fillId="0" borderId="0" applyFont="0" applyFill="0" applyBorder="0" applyAlignment="0" applyProtection="0"/>
    <xf numFmtId="0" fontId="32" fillId="0" borderId="0"/>
    <xf numFmtId="0" fontId="33" fillId="0" borderId="0"/>
    <xf numFmtId="0" fontId="5" fillId="0" borderId="0"/>
  </cellStyleXfs>
  <cellXfs count="641">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19" fillId="0" borderId="0" xfId="0" applyFont="1"/>
    <xf numFmtId="0" fontId="12" fillId="11" borderId="7" xfId="0" applyFont="1" applyFill="1" applyBorder="1" applyAlignment="1" applyProtection="1">
      <alignment horizontal="center" vertical="center" wrapText="1" readingOrder="1"/>
      <protection hidden="1"/>
    </xf>
    <xf numFmtId="0" fontId="12" fillId="11" borderId="14" xfId="0" applyFont="1" applyFill="1" applyBorder="1" applyAlignment="1" applyProtection="1">
      <alignment horizontal="center" vertical="center" wrapText="1" readingOrder="1"/>
      <protection hidden="1"/>
    </xf>
    <xf numFmtId="0" fontId="12" fillId="11" borderId="8" xfId="0" applyFont="1" applyFill="1" applyBorder="1" applyAlignment="1" applyProtection="1">
      <alignment horizontal="center" vertical="center" wrapText="1" readingOrder="1"/>
      <protection hidden="1"/>
    </xf>
    <xf numFmtId="0" fontId="12" fillId="12" borderId="7" xfId="0" applyFont="1" applyFill="1" applyBorder="1" applyAlignment="1" applyProtection="1">
      <alignment horizontal="center" wrapText="1" readingOrder="1"/>
      <protection hidden="1"/>
    </xf>
    <xf numFmtId="0" fontId="12" fillId="12" borderId="14" xfId="0" applyFont="1" applyFill="1" applyBorder="1" applyAlignment="1" applyProtection="1">
      <alignment horizontal="center" wrapText="1" readingOrder="1"/>
      <protection hidden="1"/>
    </xf>
    <xf numFmtId="0" fontId="12" fillId="12" borderId="8" xfId="0" applyFont="1" applyFill="1" applyBorder="1" applyAlignment="1" applyProtection="1">
      <alignment horizontal="center" wrapText="1" readingOrder="1"/>
      <protection hidden="1"/>
    </xf>
    <xf numFmtId="0" fontId="12" fillId="11" borderId="9" xfId="0" applyFont="1" applyFill="1" applyBorder="1" applyAlignment="1" applyProtection="1">
      <alignment horizontal="center" vertical="center" wrapText="1" readingOrder="1"/>
      <protection hidden="1"/>
    </xf>
    <xf numFmtId="0" fontId="12" fillId="11" borderId="0" xfId="0" applyFont="1" applyFill="1" applyAlignment="1" applyProtection="1">
      <alignment horizontal="center" vertical="center" wrapText="1" readingOrder="1"/>
      <protection hidden="1"/>
    </xf>
    <xf numFmtId="0" fontId="12" fillId="11" borderId="10" xfId="0" applyFont="1" applyFill="1" applyBorder="1" applyAlignment="1" applyProtection="1">
      <alignment horizontal="center" vertical="center" wrapText="1" readingOrder="1"/>
      <protection hidden="1"/>
    </xf>
    <xf numFmtId="0" fontId="12" fillId="12" borderId="9" xfId="0" applyFont="1" applyFill="1" applyBorder="1" applyAlignment="1" applyProtection="1">
      <alignment horizontal="center" wrapText="1" readingOrder="1"/>
      <protection hidden="1"/>
    </xf>
    <xf numFmtId="0" fontId="12" fillId="12" borderId="0" xfId="0" applyFont="1" applyFill="1" applyAlignment="1" applyProtection="1">
      <alignment horizontal="center" wrapText="1" readingOrder="1"/>
      <protection hidden="1"/>
    </xf>
    <xf numFmtId="0" fontId="12" fillId="12" borderId="10" xfId="0" applyFont="1" applyFill="1" applyBorder="1" applyAlignment="1" applyProtection="1">
      <alignment horizontal="center" wrapText="1" readingOrder="1"/>
      <protection hidden="1"/>
    </xf>
    <xf numFmtId="0" fontId="12" fillId="11" borderId="11" xfId="0" applyFont="1" applyFill="1" applyBorder="1" applyAlignment="1" applyProtection="1">
      <alignment horizontal="center" vertical="center" wrapText="1" readingOrder="1"/>
      <protection hidden="1"/>
    </xf>
    <xf numFmtId="0" fontId="12" fillId="11" borderId="13" xfId="0" applyFont="1" applyFill="1" applyBorder="1" applyAlignment="1" applyProtection="1">
      <alignment horizontal="center" vertical="center" wrapText="1" readingOrder="1"/>
      <protection hidden="1"/>
    </xf>
    <xf numFmtId="0" fontId="12" fillId="11" borderId="12" xfId="0" applyFont="1" applyFill="1" applyBorder="1" applyAlignment="1" applyProtection="1">
      <alignment horizontal="center" vertical="center" wrapText="1" readingOrder="1"/>
      <protection hidden="1"/>
    </xf>
    <xf numFmtId="0" fontId="12" fillId="12" borderId="11" xfId="0" applyFont="1" applyFill="1" applyBorder="1" applyAlignment="1" applyProtection="1">
      <alignment horizontal="center" wrapText="1" readingOrder="1"/>
      <protection hidden="1"/>
    </xf>
    <xf numFmtId="0" fontId="12" fillId="12" borderId="13" xfId="0" applyFont="1" applyFill="1" applyBorder="1" applyAlignment="1" applyProtection="1">
      <alignment horizontal="center" wrapText="1" readingOrder="1"/>
      <protection hidden="1"/>
    </xf>
    <xf numFmtId="0" fontId="12" fillId="12" borderId="12" xfId="0" applyFont="1" applyFill="1" applyBorder="1" applyAlignment="1" applyProtection="1">
      <alignment horizontal="center" wrapText="1" readingOrder="1"/>
      <protection hidden="1"/>
    </xf>
    <xf numFmtId="0" fontId="12" fillId="13" borderId="7" xfId="0" applyFont="1" applyFill="1" applyBorder="1" applyAlignment="1" applyProtection="1">
      <alignment horizontal="center" wrapText="1" readingOrder="1"/>
      <protection hidden="1"/>
    </xf>
    <xf numFmtId="0" fontId="12" fillId="13" borderId="14" xfId="0" applyFont="1" applyFill="1" applyBorder="1" applyAlignment="1" applyProtection="1">
      <alignment horizontal="center" wrapText="1" readingOrder="1"/>
      <protection hidden="1"/>
    </xf>
    <xf numFmtId="0" fontId="12" fillId="13" borderId="8" xfId="0" applyFont="1" applyFill="1" applyBorder="1" applyAlignment="1" applyProtection="1">
      <alignment horizontal="center" wrapText="1" readingOrder="1"/>
      <protection hidden="1"/>
    </xf>
    <xf numFmtId="0" fontId="12" fillId="13" borderId="9" xfId="0" applyFont="1" applyFill="1" applyBorder="1" applyAlignment="1" applyProtection="1">
      <alignment horizontal="center" wrapText="1" readingOrder="1"/>
      <protection hidden="1"/>
    </xf>
    <xf numFmtId="0" fontId="12" fillId="13" borderId="0" xfId="0" applyFont="1" applyFill="1" applyAlignment="1" applyProtection="1">
      <alignment horizontal="center" wrapText="1" readingOrder="1"/>
      <protection hidden="1"/>
    </xf>
    <xf numFmtId="0" fontId="12" fillId="13" borderId="10" xfId="0" applyFont="1" applyFill="1" applyBorder="1" applyAlignment="1" applyProtection="1">
      <alignment horizontal="center" wrapText="1" readingOrder="1"/>
      <protection hidden="1"/>
    </xf>
    <xf numFmtId="0" fontId="12" fillId="13" borderId="11" xfId="0" applyFont="1" applyFill="1" applyBorder="1" applyAlignment="1" applyProtection="1">
      <alignment horizontal="center" wrapText="1" readingOrder="1"/>
      <protection hidden="1"/>
    </xf>
    <xf numFmtId="0" fontId="12" fillId="13" borderId="13" xfId="0" applyFont="1" applyFill="1" applyBorder="1" applyAlignment="1" applyProtection="1">
      <alignment horizontal="center" wrapText="1" readingOrder="1"/>
      <protection hidden="1"/>
    </xf>
    <xf numFmtId="0" fontId="12" fillId="13" borderId="12" xfId="0" applyFont="1" applyFill="1" applyBorder="1" applyAlignment="1" applyProtection="1">
      <alignment horizontal="center" wrapText="1" readingOrder="1"/>
      <protection hidden="1"/>
    </xf>
    <xf numFmtId="0" fontId="12" fillId="5" borderId="7" xfId="0" applyFont="1" applyFill="1" applyBorder="1" applyAlignment="1" applyProtection="1">
      <alignment horizontal="center" wrapText="1" readingOrder="1"/>
      <protection hidden="1"/>
    </xf>
    <xf numFmtId="0" fontId="12" fillId="5" borderId="14" xfId="0" applyFont="1" applyFill="1" applyBorder="1" applyAlignment="1" applyProtection="1">
      <alignment horizontal="center" wrapText="1" readingOrder="1"/>
      <protection hidden="1"/>
    </xf>
    <xf numFmtId="0" fontId="12" fillId="5" borderId="8" xfId="0" applyFont="1" applyFill="1" applyBorder="1" applyAlignment="1" applyProtection="1">
      <alignment horizontal="center" wrapText="1" readingOrder="1"/>
      <protection hidden="1"/>
    </xf>
    <xf numFmtId="0" fontId="12" fillId="5" borderId="9" xfId="0" applyFont="1" applyFill="1" applyBorder="1" applyAlignment="1" applyProtection="1">
      <alignment horizontal="center" wrapText="1" readingOrder="1"/>
      <protection hidden="1"/>
    </xf>
    <xf numFmtId="0" fontId="12" fillId="5" borderId="0" xfId="0" applyFont="1" applyFill="1" applyAlignment="1" applyProtection="1">
      <alignment horizontal="center" wrapText="1" readingOrder="1"/>
      <protection hidden="1"/>
    </xf>
    <xf numFmtId="0" fontId="12" fillId="5" borderId="10" xfId="0" applyFont="1" applyFill="1" applyBorder="1" applyAlignment="1" applyProtection="1">
      <alignment horizontal="center" wrapText="1" readingOrder="1"/>
      <protection hidden="1"/>
    </xf>
    <xf numFmtId="0" fontId="12" fillId="5" borderId="11" xfId="0" applyFont="1" applyFill="1" applyBorder="1" applyAlignment="1" applyProtection="1">
      <alignment horizontal="center" wrapText="1" readingOrder="1"/>
      <protection hidden="1"/>
    </xf>
    <xf numFmtId="0" fontId="12" fillId="5" borderId="13" xfId="0" applyFont="1" applyFill="1" applyBorder="1" applyAlignment="1" applyProtection="1">
      <alignment horizontal="center" wrapText="1" readingOrder="1"/>
      <protection hidden="1"/>
    </xf>
    <xf numFmtId="0" fontId="12" fillId="5" borderId="12" xfId="0" applyFont="1" applyFill="1" applyBorder="1" applyAlignment="1" applyProtection="1">
      <alignment horizontal="center" wrapText="1" readingOrder="1"/>
      <protection hidden="1"/>
    </xf>
    <xf numFmtId="0" fontId="16" fillId="13" borderId="14" xfId="0" applyFont="1" applyFill="1" applyBorder="1" applyAlignment="1" applyProtection="1">
      <alignment horizontal="center" wrapText="1" readingOrder="1"/>
      <protection hidden="1"/>
    </xf>
    <xf numFmtId="0" fontId="0" fillId="3" borderId="0" xfId="0" applyFill="1"/>
    <xf numFmtId="0" fontId="9" fillId="3" borderId="0" xfId="0" applyFont="1" applyFill="1" applyAlignment="1">
      <alignment vertical="center"/>
    </xf>
    <xf numFmtId="0" fontId="5" fillId="3" borderId="0" xfId="0" applyFont="1" applyFill="1"/>
    <xf numFmtId="0" fontId="22" fillId="3" borderId="0" xfId="0" applyFont="1" applyFill="1"/>
    <xf numFmtId="0" fontId="23" fillId="3" borderId="24" xfId="0" applyFont="1" applyFill="1" applyBorder="1" applyAlignment="1">
      <alignment horizontal="center" vertical="center" wrapText="1" readingOrder="1"/>
    </xf>
    <xf numFmtId="0" fontId="24" fillId="3" borderId="24" xfId="0" applyFont="1" applyFill="1" applyBorder="1" applyAlignment="1">
      <alignment horizontal="justify" vertical="center" wrapText="1" readingOrder="1"/>
    </xf>
    <xf numFmtId="9" fontId="23" fillId="3" borderId="31" xfId="0" applyNumberFormat="1" applyFont="1" applyFill="1" applyBorder="1" applyAlignment="1">
      <alignment horizontal="center" vertical="center" wrapText="1" readingOrder="1"/>
    </xf>
    <xf numFmtId="0" fontId="23" fillId="3" borderId="23" xfId="0" applyFont="1" applyFill="1" applyBorder="1" applyAlignment="1">
      <alignment horizontal="center" vertical="center" wrapText="1" readingOrder="1"/>
    </xf>
    <xf numFmtId="0" fontId="24" fillId="3" borderId="23" xfId="0" applyFont="1" applyFill="1" applyBorder="1" applyAlignment="1">
      <alignment horizontal="justify" vertical="center" wrapText="1" readingOrder="1"/>
    </xf>
    <xf numFmtId="9" fontId="23" fillId="3" borderId="26" xfId="0" applyNumberFormat="1" applyFont="1" applyFill="1" applyBorder="1" applyAlignment="1">
      <alignment horizontal="center" vertical="center" wrapText="1" readingOrder="1"/>
    </xf>
    <xf numFmtId="0" fontId="24" fillId="3" borderId="26" xfId="0" applyFont="1" applyFill="1" applyBorder="1" applyAlignment="1">
      <alignment horizontal="center" vertical="center" wrapText="1" readingOrder="1"/>
    </xf>
    <xf numFmtId="0" fontId="23" fillId="3" borderId="28" xfId="0" applyFont="1" applyFill="1" applyBorder="1" applyAlignment="1">
      <alignment horizontal="center" vertical="center" wrapText="1" readingOrder="1"/>
    </xf>
    <xf numFmtId="0" fontId="24" fillId="3" borderId="28" xfId="0" applyFont="1" applyFill="1" applyBorder="1" applyAlignment="1">
      <alignment horizontal="justify" vertical="center" wrapText="1" readingOrder="1"/>
    </xf>
    <xf numFmtId="0" fontId="24" fillId="3" borderId="29" xfId="0" applyFont="1" applyFill="1" applyBorder="1" applyAlignment="1">
      <alignment horizontal="center" vertical="center" wrapText="1" readingOrder="1"/>
    </xf>
    <xf numFmtId="0" fontId="31" fillId="3" borderId="0" xfId="0" applyFont="1" applyFill="1"/>
    <xf numFmtId="0" fontId="23" fillId="14" borderId="33" xfId="0" applyFont="1" applyFill="1" applyBorder="1" applyAlignment="1">
      <alignment horizontal="center" vertical="center" wrapText="1" readingOrder="1"/>
    </xf>
    <xf numFmtId="0" fontId="23" fillId="14" borderId="34" xfId="0" applyFont="1" applyFill="1" applyBorder="1" applyAlignment="1">
      <alignment horizontal="center" vertical="center" wrapText="1" readingOrder="1"/>
    </xf>
    <xf numFmtId="0" fontId="45" fillId="0" borderId="12" xfId="0" applyFont="1" applyBorder="1" applyAlignment="1">
      <alignment horizontal="center" vertical="center" wrapText="1"/>
    </xf>
    <xf numFmtId="0" fontId="46" fillId="0" borderId="1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2" xfId="0" applyFont="1" applyBorder="1" applyAlignment="1">
      <alignment horizontal="justify" vertical="center" wrapText="1"/>
    </xf>
    <xf numFmtId="0" fontId="44" fillId="0" borderId="10" xfId="0" applyFont="1" applyBorder="1" applyAlignment="1">
      <alignment horizontal="center" vertical="center" wrapText="1"/>
    </xf>
    <xf numFmtId="0" fontId="48" fillId="3" borderId="23" xfId="0" applyFont="1" applyFill="1" applyBorder="1" applyAlignment="1">
      <alignment horizontal="left" vertical="center"/>
    </xf>
    <xf numFmtId="0" fontId="20" fillId="3" borderId="23" xfId="0" applyFont="1" applyFill="1" applyBorder="1" applyAlignment="1">
      <alignment horizontal="center" vertical="center" wrapText="1"/>
    </xf>
    <xf numFmtId="0" fontId="34" fillId="3" borderId="23" xfId="2" applyFont="1" applyFill="1" applyBorder="1"/>
    <xf numFmtId="0" fontId="36" fillId="3" borderId="23" xfId="2" quotePrefix="1" applyFont="1" applyFill="1" applyBorder="1" applyAlignment="1">
      <alignment horizontal="left" vertical="top" wrapText="1"/>
    </xf>
    <xf numFmtId="0" fontId="37" fillId="3" borderId="23" xfId="2" quotePrefix="1" applyFont="1" applyFill="1" applyBorder="1" applyAlignment="1">
      <alignment horizontal="left" vertical="top" wrapText="1"/>
    </xf>
    <xf numFmtId="0" fontId="34" fillId="3" borderId="23" xfId="2" quotePrefix="1" applyFont="1" applyFill="1" applyBorder="1" applyAlignment="1">
      <alignment horizontal="left" vertical="top" wrapText="1"/>
    </xf>
    <xf numFmtId="0" fontId="38" fillId="3" borderId="23" xfId="2" quotePrefix="1" applyFont="1" applyFill="1" applyBorder="1" applyAlignment="1">
      <alignment horizontal="left" vertical="top" wrapText="1"/>
    </xf>
    <xf numFmtId="0" fontId="39" fillId="3" borderId="23" xfId="0" applyFont="1" applyFill="1" applyBorder="1" applyAlignment="1">
      <alignment horizontal="left" vertical="center" wrapText="1"/>
    </xf>
    <xf numFmtId="0" fontId="40" fillId="3" borderId="23" xfId="0" applyFont="1" applyFill="1" applyBorder="1" applyAlignment="1">
      <alignment horizontal="left" vertical="top" wrapText="1"/>
    </xf>
    <xf numFmtId="0" fontId="34" fillId="3" borderId="23" xfId="2" applyFont="1" applyFill="1" applyBorder="1" applyAlignment="1">
      <alignment horizontal="left" vertical="top" wrapText="1"/>
    </xf>
    <xf numFmtId="0" fontId="52" fillId="0" borderId="0" xfId="0" applyFont="1"/>
    <xf numFmtId="0" fontId="52" fillId="3" borderId="0" xfId="0" applyFont="1" applyFill="1"/>
    <xf numFmtId="0" fontId="52" fillId="3" borderId="23" xfId="0" applyFont="1" applyFill="1" applyBorder="1"/>
    <xf numFmtId="0" fontId="55" fillId="3" borderId="0" xfId="0" applyFont="1" applyFill="1"/>
    <xf numFmtId="0" fontId="56" fillId="5" borderId="23" xfId="0" applyFont="1" applyFill="1" applyBorder="1" applyAlignment="1">
      <alignment horizontal="center" vertical="center" wrapText="1" readingOrder="1"/>
    </xf>
    <xf numFmtId="0" fontId="56" fillId="7" borderId="23" xfId="0" applyFont="1" applyFill="1" applyBorder="1" applyAlignment="1">
      <alignment horizontal="center" vertical="center" wrapText="1" readingOrder="1"/>
    </xf>
    <xf numFmtId="0" fontId="56" fillId="4" borderId="23" xfId="0" applyFont="1" applyFill="1" applyBorder="1" applyAlignment="1">
      <alignment horizontal="center" vertical="center" wrapText="1" readingOrder="1"/>
    </xf>
    <xf numFmtId="0" fontId="56" fillId="8" borderId="23" xfId="0" applyFont="1" applyFill="1" applyBorder="1" applyAlignment="1">
      <alignment horizontal="center" vertical="center" wrapText="1" readingOrder="1"/>
    </xf>
    <xf numFmtId="0" fontId="57" fillId="9" borderId="23" xfId="0" applyFont="1" applyFill="1" applyBorder="1" applyAlignment="1">
      <alignment horizontal="center" vertical="center" wrapText="1" readingOrder="1"/>
    </xf>
    <xf numFmtId="0" fontId="58" fillId="3" borderId="0" xfId="0" applyFont="1" applyFill="1" applyAlignment="1">
      <alignment horizontal="justify" vertical="center" wrapText="1" readingOrder="1"/>
    </xf>
    <xf numFmtId="0" fontId="59" fillId="3" borderId="0" xfId="0" applyFont="1" applyFill="1" applyAlignment="1">
      <alignment vertical="center"/>
    </xf>
    <xf numFmtId="0" fontId="49" fillId="3" borderId="0" xfId="0" applyFont="1" applyFill="1"/>
    <xf numFmtId="0" fontId="55" fillId="0" borderId="0" xfId="0" applyFont="1"/>
    <xf numFmtId="0" fontId="58" fillId="0" borderId="0" xfId="0" applyFont="1" applyAlignment="1">
      <alignment horizontal="justify" vertical="center" wrapText="1" readingOrder="1"/>
    </xf>
    <xf numFmtId="0" fontId="60" fillId="0" borderId="0" xfId="0" applyFont="1" applyAlignment="1">
      <alignment vertical="center"/>
    </xf>
    <xf numFmtId="0" fontId="52" fillId="0" borderId="0" xfId="0" pivotButton="1" applyFont="1"/>
    <xf numFmtId="0" fontId="60" fillId="0" borderId="0" xfId="0" applyFont="1"/>
    <xf numFmtId="0" fontId="61" fillId="0" borderId="0" xfId="0" applyFont="1"/>
    <xf numFmtId="0" fontId="49" fillId="0" borderId="0" xfId="0" applyFont="1"/>
    <xf numFmtId="0" fontId="59" fillId="3" borderId="0" xfId="0" applyFont="1" applyFill="1" applyAlignment="1">
      <alignment horizontal="left" vertical="center"/>
    </xf>
    <xf numFmtId="0" fontId="63" fillId="0" borderId="23" xfId="0" applyFont="1" applyBorder="1" applyAlignment="1">
      <alignment horizontal="center" vertical="center" wrapText="1"/>
    </xf>
    <xf numFmtId="0" fontId="64" fillId="6" borderId="23" xfId="0" applyFont="1" applyFill="1" applyBorder="1" applyAlignment="1">
      <alignment horizontal="center" vertical="center" wrapText="1" readingOrder="1"/>
    </xf>
    <xf numFmtId="0" fontId="65" fillId="5" borderId="23" xfId="0" applyFont="1" applyFill="1" applyBorder="1" applyAlignment="1">
      <alignment horizontal="center" vertical="center" wrapText="1" readingOrder="1"/>
    </xf>
    <xf numFmtId="0" fontId="65" fillId="0" borderId="23" xfId="0" applyFont="1" applyBorder="1" applyAlignment="1">
      <alignment horizontal="justify" vertical="center" wrapText="1" readingOrder="1"/>
    </xf>
    <xf numFmtId="9" fontId="65" fillId="0" borderId="23" xfId="0" applyNumberFormat="1" applyFont="1" applyBorder="1" applyAlignment="1">
      <alignment horizontal="center" vertical="center" wrapText="1" readingOrder="1"/>
    </xf>
    <xf numFmtId="0" fontId="65" fillId="7" borderId="23" xfId="0" applyFont="1" applyFill="1" applyBorder="1" applyAlignment="1">
      <alignment horizontal="center" vertical="center" wrapText="1" readingOrder="1"/>
    </xf>
    <xf numFmtId="0" fontId="65" fillId="4" borderId="23" xfId="0" applyFont="1" applyFill="1" applyBorder="1" applyAlignment="1">
      <alignment horizontal="center" vertical="center" wrapText="1" readingOrder="1"/>
    </xf>
    <xf numFmtId="0" fontId="65" fillId="8" borderId="23" xfId="0" applyFont="1" applyFill="1" applyBorder="1" applyAlignment="1">
      <alignment horizontal="center" vertical="center" wrapText="1" readingOrder="1"/>
    </xf>
    <xf numFmtId="0" fontId="66" fillId="9" borderId="23" xfId="0" applyFont="1" applyFill="1" applyBorder="1" applyAlignment="1">
      <alignment horizontal="center" vertical="center" wrapText="1" readingOrder="1"/>
    </xf>
    <xf numFmtId="0" fontId="56" fillId="0" borderId="45" xfId="0" applyFont="1" applyBorder="1" applyAlignment="1">
      <alignment vertical="center" wrapText="1" readingOrder="1"/>
    </xf>
    <xf numFmtId="0" fontId="56" fillId="0" borderId="50" xfId="0" applyFont="1" applyBorder="1" applyAlignment="1">
      <alignment vertical="center" wrapText="1" readingOrder="1"/>
    </xf>
    <xf numFmtId="0" fontId="56" fillId="0" borderId="46" xfId="0" applyFont="1" applyBorder="1" applyAlignment="1">
      <alignment vertical="center" wrapText="1" readingOrder="1"/>
    </xf>
    <xf numFmtId="0" fontId="67" fillId="0" borderId="23" xfId="0" applyFont="1" applyBorder="1" applyAlignment="1">
      <alignment horizontal="left" vertical="center" wrapText="1"/>
    </xf>
    <xf numFmtId="0" fontId="68" fillId="7" borderId="23" xfId="0" applyFont="1" applyFill="1" applyBorder="1" applyAlignment="1">
      <alignment horizontal="center" vertical="center"/>
    </xf>
    <xf numFmtId="0" fontId="68" fillId="7" borderId="45" xfId="0" applyFont="1" applyFill="1" applyBorder="1" applyAlignment="1">
      <alignment horizontal="left" vertical="center"/>
    </xf>
    <xf numFmtId="0" fontId="68" fillId="7" borderId="50" xfId="0" applyFont="1" applyFill="1" applyBorder="1" applyAlignment="1">
      <alignment horizontal="center" vertical="center"/>
    </xf>
    <xf numFmtId="0" fontId="68" fillId="7" borderId="50" xfId="0" applyFont="1" applyFill="1" applyBorder="1" applyAlignment="1">
      <alignment horizontal="left" vertical="center"/>
    </xf>
    <xf numFmtId="0" fontId="68" fillId="7" borderId="46" xfId="0" applyFont="1" applyFill="1" applyBorder="1" applyAlignment="1">
      <alignment horizontal="center" vertical="center"/>
    </xf>
    <xf numFmtId="0" fontId="67" fillId="0" borderId="0" xfId="0" applyFont="1"/>
    <xf numFmtId="0" fontId="68" fillId="7" borderId="23" xfId="0" applyFont="1" applyFill="1" applyBorder="1" applyAlignment="1">
      <alignment horizontal="left" vertical="center"/>
    </xf>
    <xf numFmtId="0" fontId="67" fillId="0" borderId="23" xfId="0" applyFont="1" applyBorder="1" applyAlignment="1">
      <alignment horizontal="center" vertical="center"/>
    </xf>
    <xf numFmtId="14" fontId="67" fillId="0" borderId="23" xfId="0" applyNumberFormat="1" applyFont="1" applyBorder="1" applyAlignment="1">
      <alignment horizontal="center" vertical="center"/>
    </xf>
    <xf numFmtId="0" fontId="67" fillId="0" borderId="0" xfId="0" applyFont="1" applyAlignment="1">
      <alignment horizontal="center" vertical="center"/>
    </xf>
    <xf numFmtId="0" fontId="70" fillId="0" borderId="23" xfId="0" applyFont="1" applyBorder="1" applyAlignment="1">
      <alignment horizontal="center" vertical="center" wrapText="1"/>
    </xf>
    <xf numFmtId="0" fontId="71" fillId="0" borderId="0" xfId="0" applyFont="1"/>
    <xf numFmtId="0" fontId="71" fillId="0" borderId="0" xfId="0" applyFont="1" applyAlignment="1">
      <alignment horizontal="center" vertical="center"/>
    </xf>
    <xf numFmtId="0" fontId="71" fillId="0" borderId="0" xfId="0" applyFont="1" applyAlignment="1">
      <alignment horizontal="center"/>
    </xf>
    <xf numFmtId="0" fontId="71" fillId="0" borderId="0" xfId="0" applyFont="1" applyAlignment="1">
      <alignment horizontal="justify" vertical="center"/>
    </xf>
    <xf numFmtId="0" fontId="72" fillId="3" borderId="0" xfId="0" applyFont="1" applyFill="1" applyAlignment="1">
      <alignment vertical="center" wrapText="1"/>
    </xf>
    <xf numFmtId="0" fontId="73" fillId="0" borderId="0" xfId="0" applyFont="1" applyAlignment="1">
      <alignment horizontal="left" vertical="center" wrapText="1"/>
    </xf>
    <xf numFmtId="0" fontId="72" fillId="3" borderId="0" xfId="0" applyFont="1" applyFill="1" applyAlignment="1">
      <alignment horizontal="left" vertical="center" wrapText="1"/>
    </xf>
    <xf numFmtId="0" fontId="71" fillId="3" borderId="0" xfId="0" applyFont="1" applyFill="1" applyAlignment="1">
      <alignment horizontal="center" vertical="center"/>
    </xf>
    <xf numFmtId="0" fontId="71" fillId="3" borderId="0" xfId="0" applyFont="1" applyFill="1" applyAlignment="1">
      <alignment horizontal="left" vertical="center"/>
    </xf>
    <xf numFmtId="0" fontId="71" fillId="3" borderId="0" xfId="0" applyFont="1" applyFill="1"/>
    <xf numFmtId="0" fontId="71" fillId="3" borderId="0" xfId="0" applyFont="1" applyFill="1" applyAlignment="1">
      <alignment horizontal="center"/>
    </xf>
    <xf numFmtId="0" fontId="71" fillId="3" borderId="0" xfId="0" applyFont="1" applyFill="1" applyAlignment="1">
      <alignment horizontal="justify" vertical="center"/>
    </xf>
    <xf numFmtId="0" fontId="76" fillId="3" borderId="0" xfId="0" applyFont="1" applyFill="1" applyAlignment="1">
      <alignment horizontal="center" vertical="center"/>
    </xf>
    <xf numFmtId="0" fontId="76" fillId="18" borderId="74" xfId="0" applyFont="1" applyFill="1" applyBorder="1" applyAlignment="1">
      <alignment horizontal="center" vertical="center" textRotation="90"/>
    </xf>
    <xf numFmtId="0" fontId="76" fillId="2" borderId="0" xfId="0" applyFont="1" applyFill="1" applyAlignment="1">
      <alignment horizontal="center" vertical="center"/>
    </xf>
    <xf numFmtId="0" fontId="71" fillId="0" borderId="2" xfId="0" applyFont="1" applyBorder="1" applyAlignment="1">
      <alignment horizontal="center" vertical="center"/>
    </xf>
    <xf numFmtId="164" fontId="71" fillId="0" borderId="2" xfId="1" applyNumberFormat="1" applyFont="1" applyBorder="1" applyAlignment="1">
      <alignment horizontal="center" vertical="center"/>
    </xf>
    <xf numFmtId="0" fontId="76" fillId="0" borderId="2" xfId="0" applyFont="1" applyBorder="1" applyAlignment="1" applyProtection="1">
      <alignment horizontal="center" vertical="center" textRotation="90" wrapText="1"/>
      <protection hidden="1"/>
    </xf>
    <xf numFmtId="9" fontId="71" fillId="0" borderId="3" xfId="0" applyNumberFormat="1" applyFont="1" applyBorder="1" applyAlignment="1" applyProtection="1">
      <alignment horizontal="center" vertical="center"/>
      <protection hidden="1"/>
    </xf>
    <xf numFmtId="0" fontId="76" fillId="0" borderId="2" xfId="0" applyFont="1" applyBorder="1" applyAlignment="1" applyProtection="1">
      <alignment horizontal="center" vertical="center" textRotation="90"/>
      <protection hidden="1"/>
    </xf>
    <xf numFmtId="0" fontId="71" fillId="0" borderId="3" xfId="0" applyFont="1" applyBorder="1" applyAlignment="1" applyProtection="1">
      <alignment horizontal="center" vertical="center" textRotation="90"/>
      <protection locked="0"/>
    </xf>
    <xf numFmtId="0" fontId="71" fillId="0" borderId="2" xfId="0" applyFont="1" applyBorder="1" applyAlignment="1">
      <alignment horizontal="center" vertical="top"/>
    </xf>
    <xf numFmtId="164" fontId="71" fillId="0" borderId="2" xfId="1" applyNumberFormat="1" applyFont="1" applyBorder="1" applyAlignment="1">
      <alignment horizontal="center" vertical="top"/>
    </xf>
    <xf numFmtId="9" fontId="71" fillId="0" borderId="3" xfId="0" applyNumberFormat="1" applyFont="1" applyBorder="1" applyAlignment="1" applyProtection="1">
      <alignment horizontal="center" vertical="top"/>
      <protection hidden="1"/>
    </xf>
    <xf numFmtId="0" fontId="76" fillId="0" borderId="2" xfId="0" applyFont="1" applyBorder="1" applyAlignment="1" applyProtection="1">
      <alignment horizontal="center" vertical="top" textRotation="90" wrapText="1"/>
      <protection hidden="1"/>
    </xf>
    <xf numFmtId="0" fontId="76" fillId="0" borderId="2" xfId="0" applyFont="1" applyBorder="1" applyAlignment="1" applyProtection="1">
      <alignment horizontal="center" vertical="top" textRotation="90"/>
      <protection hidden="1"/>
    </xf>
    <xf numFmtId="0" fontId="71" fillId="0" borderId="3" xfId="0" applyFont="1" applyBorder="1" applyAlignment="1" applyProtection="1">
      <alignment horizontal="center" vertical="top" textRotation="90"/>
      <protection locked="0"/>
    </xf>
    <xf numFmtId="0" fontId="71" fillId="0" borderId="2" xfId="0" applyFont="1" applyBorder="1" applyAlignment="1" applyProtection="1">
      <alignment horizontal="justify" vertical="center" wrapText="1"/>
      <protection locked="0"/>
    </xf>
    <xf numFmtId="0" fontId="71" fillId="0" borderId="2" xfId="0" applyFont="1" applyBorder="1" applyAlignment="1" applyProtection="1">
      <alignment horizontal="center" vertical="top"/>
      <protection hidden="1"/>
    </xf>
    <xf numFmtId="0" fontId="71" fillId="0" borderId="2" xfId="0" applyFont="1" applyBorder="1" applyAlignment="1" applyProtection="1">
      <alignment horizontal="center" vertical="top" textRotation="90"/>
      <protection locked="0"/>
    </xf>
    <xf numFmtId="9" fontId="71" fillId="0" borderId="2" xfId="0" applyNumberFormat="1" applyFont="1" applyBorder="1" applyAlignment="1" applyProtection="1">
      <alignment horizontal="center" vertical="top"/>
      <protection hidden="1"/>
    </xf>
    <xf numFmtId="0" fontId="71" fillId="0" borderId="2" xfId="0" applyFont="1" applyBorder="1" applyAlignment="1" applyProtection="1">
      <alignment horizontal="center" vertical="top" wrapText="1"/>
      <protection locked="0"/>
    </xf>
    <xf numFmtId="0" fontId="71" fillId="0" borderId="2" xfId="0" applyFont="1" applyBorder="1" applyAlignment="1" applyProtection="1">
      <alignment horizontal="center" vertical="top"/>
      <protection locked="0"/>
    </xf>
    <xf numFmtId="14" fontId="71" fillId="0" borderId="2" xfId="0" applyNumberFormat="1" applyFont="1" applyBorder="1" applyAlignment="1" applyProtection="1">
      <alignment horizontal="center" vertical="top"/>
      <protection locked="0"/>
    </xf>
    <xf numFmtId="0" fontId="71" fillId="0" borderId="2" xfId="0" applyFont="1" applyBorder="1" applyAlignment="1" applyProtection="1">
      <alignment horizontal="justify" vertical="center"/>
      <protection locked="0"/>
    </xf>
    <xf numFmtId="0" fontId="71" fillId="0" borderId="5" xfId="0" applyFont="1" applyBorder="1" applyAlignment="1">
      <alignment horizontal="center" vertical="center"/>
    </xf>
    <xf numFmtId="0" fontId="71" fillId="0" borderId="4" xfId="0" applyFont="1" applyBorder="1" applyAlignment="1">
      <alignment horizontal="center" vertical="top"/>
    </xf>
    <xf numFmtId="0" fontId="71" fillId="0" borderId="4" xfId="0" applyFont="1" applyBorder="1" applyAlignment="1" applyProtection="1">
      <alignment horizontal="justify" vertical="center" wrapText="1"/>
      <protection locked="0"/>
    </xf>
    <xf numFmtId="0" fontId="71" fillId="0" borderId="4" xfId="0" applyFont="1" applyBorder="1" applyAlignment="1" applyProtection="1">
      <alignment horizontal="center" vertical="center"/>
      <protection hidden="1"/>
    </xf>
    <xf numFmtId="0" fontId="71" fillId="0" borderId="4" xfId="0" applyFont="1" applyBorder="1" applyAlignment="1" applyProtection="1">
      <alignment horizontal="center" vertical="center" textRotation="90"/>
      <protection locked="0"/>
    </xf>
    <xf numFmtId="9" fontId="71" fillId="0" borderId="4" xfId="0" applyNumberFormat="1" applyFont="1" applyBorder="1" applyAlignment="1" applyProtection="1">
      <alignment horizontal="center" vertical="center"/>
      <protection hidden="1"/>
    </xf>
    <xf numFmtId="164" fontId="71" fillId="0" borderId="4" xfId="1" applyNumberFormat="1" applyFont="1" applyBorder="1" applyAlignment="1">
      <alignment horizontal="center" vertical="center"/>
    </xf>
    <xf numFmtId="0" fontId="76" fillId="0" borderId="4" xfId="0" applyFont="1" applyBorder="1" applyAlignment="1" applyProtection="1">
      <alignment horizontal="center" vertical="center" textRotation="90" wrapText="1"/>
      <protection hidden="1"/>
    </xf>
    <xf numFmtId="9" fontId="71" fillId="0" borderId="5" xfId="0" applyNumberFormat="1" applyFont="1" applyBorder="1" applyAlignment="1" applyProtection="1">
      <alignment horizontal="center" vertical="center"/>
      <protection hidden="1"/>
    </xf>
    <xf numFmtId="0" fontId="76" fillId="0" borderId="4" xfId="0" applyFont="1" applyBorder="1" applyAlignment="1" applyProtection="1">
      <alignment horizontal="center" vertical="center" textRotation="90"/>
      <protection hidden="1"/>
    </xf>
    <xf numFmtId="0" fontId="71" fillId="0" borderId="5" xfId="0" applyFont="1" applyBorder="1" applyAlignment="1" applyProtection="1">
      <alignment horizontal="center" vertical="center" textRotation="90"/>
      <protection locked="0"/>
    </xf>
    <xf numFmtId="0" fontId="71" fillId="0" borderId="4" xfId="0" applyFont="1" applyBorder="1" applyAlignment="1" applyProtection="1">
      <alignment horizontal="center" vertical="top" wrapText="1"/>
      <protection locked="0"/>
    </xf>
    <xf numFmtId="0" fontId="71" fillId="0" borderId="4" xfId="0" applyFont="1" applyBorder="1" applyAlignment="1" applyProtection="1">
      <alignment horizontal="center" vertical="top"/>
      <protection locked="0"/>
    </xf>
    <xf numFmtId="14" fontId="71" fillId="0" borderId="4" xfId="0" applyNumberFormat="1" applyFont="1" applyBorder="1" applyAlignment="1" applyProtection="1">
      <alignment horizontal="center" vertical="top"/>
      <protection locked="0"/>
    </xf>
    <xf numFmtId="0" fontId="71" fillId="0" borderId="4" xfId="0" applyFont="1" applyBorder="1" applyAlignment="1">
      <alignment horizontal="center" vertical="center"/>
    </xf>
    <xf numFmtId="0" fontId="71" fillId="0" borderId="3" xfId="0" applyFont="1" applyBorder="1" applyAlignment="1">
      <alignment horizontal="center" vertical="center"/>
    </xf>
    <xf numFmtId="0" fontId="71" fillId="0" borderId="2" xfId="0" applyFont="1" applyBorder="1" applyAlignment="1" applyProtection="1">
      <alignment horizontal="center" vertical="center"/>
      <protection hidden="1"/>
    </xf>
    <xf numFmtId="0" fontId="71" fillId="0" borderId="2" xfId="0" applyFont="1" applyBorder="1" applyAlignment="1" applyProtection="1">
      <alignment horizontal="center" vertical="center" textRotation="90"/>
      <protection locked="0"/>
    </xf>
    <xf numFmtId="9" fontId="71" fillId="0" borderId="2" xfId="0" applyNumberFormat="1" applyFont="1" applyBorder="1" applyAlignment="1" applyProtection="1">
      <alignment horizontal="center" vertical="center"/>
      <protection hidden="1"/>
    </xf>
    <xf numFmtId="0" fontId="71" fillId="0" borderId="2" xfId="0" applyFont="1" applyBorder="1" applyAlignment="1" applyProtection="1">
      <alignment horizontal="center" vertical="center" wrapText="1"/>
      <protection locked="0"/>
    </xf>
    <xf numFmtId="14" fontId="71" fillId="0" borderId="2" xfId="0" applyNumberFormat="1" applyFont="1" applyBorder="1" applyAlignment="1" applyProtection="1">
      <alignment horizontal="center" vertical="center"/>
      <protection locked="0"/>
    </xf>
    <xf numFmtId="0" fontId="71" fillId="0" borderId="3" xfId="0" applyFont="1" applyBorder="1" applyAlignment="1" applyProtection="1">
      <alignment horizontal="center" vertical="top" wrapText="1"/>
      <protection locked="0"/>
    </xf>
    <xf numFmtId="0" fontId="71" fillId="0" borderId="3" xfId="0" applyFont="1" applyBorder="1" applyAlignment="1">
      <alignment horizontal="center" vertical="top"/>
    </xf>
    <xf numFmtId="0" fontId="71" fillId="0" borderId="3" xfId="0" applyFont="1" applyBorder="1" applyAlignment="1" applyProtection="1">
      <alignment horizontal="justify" vertical="center" wrapText="1"/>
      <protection locked="0"/>
    </xf>
    <xf numFmtId="0" fontId="71" fillId="0" borderId="3" xfId="0" applyFont="1" applyBorder="1" applyAlignment="1" applyProtection="1">
      <alignment horizontal="center" vertical="top"/>
      <protection hidden="1"/>
    </xf>
    <xf numFmtId="164" fontId="71" fillId="0" borderId="3" xfId="1" applyNumberFormat="1" applyFont="1" applyBorder="1" applyAlignment="1">
      <alignment horizontal="center" vertical="top"/>
    </xf>
    <xf numFmtId="0" fontId="76" fillId="0" borderId="3" xfId="0" applyFont="1" applyBorder="1" applyAlignment="1" applyProtection="1">
      <alignment horizontal="center" vertical="top" textRotation="90" wrapText="1"/>
      <protection hidden="1"/>
    </xf>
    <xf numFmtId="0" fontId="76" fillId="0" borderId="3" xfId="0" applyFont="1" applyBorder="1" applyAlignment="1" applyProtection="1">
      <alignment horizontal="center" vertical="top" textRotation="90"/>
      <protection hidden="1"/>
    </xf>
    <xf numFmtId="0" fontId="71" fillId="0" borderId="3" xfId="0" applyFont="1" applyBorder="1" applyAlignment="1" applyProtection="1">
      <alignment horizontal="center" vertical="top"/>
      <protection locked="0"/>
    </xf>
    <xf numFmtId="14" fontId="71" fillId="0" borderId="3" xfId="0" applyNumberFormat="1" applyFont="1" applyBorder="1" applyAlignment="1" applyProtection="1">
      <alignment horizontal="center" vertical="top"/>
      <protection locked="0"/>
    </xf>
    <xf numFmtId="0" fontId="76" fillId="0" borderId="0" xfId="0" applyFont="1"/>
    <xf numFmtId="0" fontId="76" fillId="0" borderId="0" xfId="0" applyFont="1" applyAlignment="1">
      <alignment horizontal="left" vertical="center"/>
    </xf>
    <xf numFmtId="17" fontId="76" fillId="0" borderId="0" xfId="0" applyNumberFormat="1" applyFont="1" applyAlignment="1">
      <alignment horizontal="center" vertical="center"/>
    </xf>
    <xf numFmtId="0" fontId="79" fillId="0" borderId="23" xfId="0" applyFont="1" applyBorder="1" applyAlignment="1">
      <alignment horizontal="center" vertical="center"/>
    </xf>
    <xf numFmtId="14" fontId="79" fillId="0" borderId="23" xfId="0" applyNumberFormat="1" applyFont="1" applyBorder="1" applyAlignment="1">
      <alignment horizontal="center" vertical="center"/>
    </xf>
    <xf numFmtId="0" fontId="79" fillId="0" borderId="23" xfId="0" applyFont="1" applyBorder="1" applyAlignment="1">
      <alignment vertical="center" wrapText="1"/>
    </xf>
    <xf numFmtId="0" fontId="79" fillId="0" borderId="23" xfId="0" applyFont="1" applyBorder="1" applyAlignment="1">
      <alignment horizontal="center" vertical="center" wrapText="1"/>
    </xf>
    <xf numFmtId="0" fontId="79" fillId="0" borderId="0" xfId="0" applyFont="1"/>
    <xf numFmtId="0" fontId="75" fillId="0" borderId="2" xfId="0" applyFont="1" applyBorder="1" applyAlignment="1">
      <alignment horizontal="center" vertical="top"/>
    </xf>
    <xf numFmtId="0" fontId="75" fillId="0" borderId="2" xfId="0" applyFont="1" applyBorder="1" applyAlignment="1" applyProtection="1">
      <alignment horizontal="justify" vertical="center" wrapText="1"/>
      <protection locked="0"/>
    </xf>
    <xf numFmtId="0" fontId="75" fillId="0" borderId="3" xfId="0" applyFont="1" applyBorder="1" applyAlignment="1" applyProtection="1">
      <alignment horizontal="center" vertical="center"/>
      <protection hidden="1"/>
    </xf>
    <xf numFmtId="0" fontId="75" fillId="0" borderId="3" xfId="0" applyFont="1" applyBorder="1" applyAlignment="1" applyProtection="1">
      <alignment horizontal="center" vertical="center" textRotation="90"/>
      <protection locked="0"/>
    </xf>
    <xf numFmtId="9" fontId="75" fillId="0" borderId="3" xfId="0" applyNumberFormat="1" applyFont="1" applyBorder="1" applyAlignment="1" applyProtection="1">
      <alignment horizontal="center" vertical="center"/>
      <protection hidden="1"/>
    </xf>
    <xf numFmtId="164" fontId="75" fillId="0" borderId="2" xfId="1" applyNumberFormat="1" applyFont="1" applyBorder="1" applyAlignment="1">
      <alignment horizontal="center" vertical="center"/>
    </xf>
    <xf numFmtId="0" fontId="72" fillId="0" borderId="3" xfId="0" applyFont="1" applyBorder="1" applyAlignment="1" applyProtection="1">
      <alignment horizontal="center" vertical="center" textRotation="90" wrapText="1"/>
      <protection hidden="1"/>
    </xf>
    <xf numFmtId="0" fontId="72" fillId="0" borderId="3" xfId="0" applyFont="1" applyBorder="1" applyAlignment="1" applyProtection="1">
      <alignment horizontal="center" vertical="center" textRotation="90"/>
      <protection hidden="1"/>
    </xf>
    <xf numFmtId="0" fontId="75" fillId="0" borderId="2" xfId="0" applyFont="1" applyBorder="1" applyAlignment="1" applyProtection="1">
      <alignment horizontal="center" vertical="center" wrapText="1"/>
      <protection locked="0"/>
    </xf>
    <xf numFmtId="14" fontId="75" fillId="0" borderId="2" xfId="0" applyNumberFormat="1" applyFont="1" applyBorder="1" applyAlignment="1" applyProtection="1">
      <alignment horizontal="center" vertical="center"/>
      <protection locked="0"/>
    </xf>
    <xf numFmtId="14" fontId="75" fillId="0" borderId="2" xfId="0" applyNumberFormat="1" applyFont="1" applyBorder="1" applyAlignment="1" applyProtection="1">
      <alignment horizontal="center" vertical="top"/>
      <protection locked="0"/>
    </xf>
    <xf numFmtId="0" fontId="75" fillId="0" borderId="2" xfId="0" applyFont="1" applyBorder="1" applyAlignment="1" applyProtection="1">
      <alignment horizontal="center" vertical="top" wrapText="1"/>
      <protection locked="0"/>
    </xf>
    <xf numFmtId="0" fontId="75" fillId="0" borderId="71" xfId="0" applyFont="1" applyBorder="1" applyAlignment="1" applyProtection="1">
      <alignment horizontal="center" vertical="top"/>
      <protection locked="0"/>
    </xf>
    <xf numFmtId="0" fontId="75" fillId="3" borderId="0" xfId="0" applyFont="1" applyFill="1"/>
    <xf numFmtId="0" fontId="75" fillId="0" borderId="0" xfId="0" applyFont="1"/>
    <xf numFmtId="0" fontId="75" fillId="0" borderId="2" xfId="0" applyFont="1" applyBorder="1" applyAlignment="1" applyProtection="1">
      <alignment horizontal="center" vertical="center"/>
      <protection hidden="1"/>
    </xf>
    <xf numFmtId="0" fontId="75" fillId="0" borderId="2" xfId="0" applyFont="1" applyBorder="1" applyAlignment="1" applyProtection="1">
      <alignment horizontal="center" vertical="center" textRotation="90"/>
      <protection locked="0"/>
    </xf>
    <xf numFmtId="9" fontId="75" fillId="0" borderId="2" xfId="0" applyNumberFormat="1" applyFont="1" applyBorder="1" applyAlignment="1" applyProtection="1">
      <alignment horizontal="center" vertical="center"/>
      <protection hidden="1"/>
    </xf>
    <xf numFmtId="0" fontId="72" fillId="0" borderId="2" xfId="0" applyFont="1" applyBorder="1" applyAlignment="1" applyProtection="1">
      <alignment horizontal="center" vertical="center" textRotation="90" wrapText="1"/>
      <protection hidden="1"/>
    </xf>
    <xf numFmtId="0" fontId="72" fillId="0" borderId="2" xfId="0" applyFont="1" applyBorder="1" applyAlignment="1" applyProtection="1">
      <alignment horizontal="center" vertical="center" textRotation="90"/>
      <protection hidden="1"/>
    </xf>
    <xf numFmtId="0" fontId="75" fillId="0" borderId="2" xfId="0" applyFont="1" applyBorder="1" applyAlignment="1" applyProtection="1">
      <alignment horizontal="justify" vertical="center"/>
      <protection locked="0"/>
    </xf>
    <xf numFmtId="0" fontId="75" fillId="0" borderId="2" xfId="0" applyFont="1" applyBorder="1" applyAlignment="1" applyProtection="1">
      <alignment horizontal="center" vertical="center"/>
      <protection locked="0"/>
    </xf>
    <xf numFmtId="0" fontId="75" fillId="0" borderId="2" xfId="0" applyFont="1" applyBorder="1" applyAlignment="1" applyProtection="1">
      <alignment horizontal="center" vertical="top"/>
      <protection hidden="1"/>
    </xf>
    <xf numFmtId="0" fontId="75" fillId="0" borderId="2" xfId="0" applyFont="1" applyBorder="1" applyAlignment="1" applyProtection="1">
      <alignment horizontal="center" vertical="top" textRotation="90"/>
      <protection locked="0"/>
    </xf>
    <xf numFmtId="9" fontId="75" fillId="0" borderId="2" xfId="0" applyNumberFormat="1" applyFont="1" applyBorder="1" applyAlignment="1" applyProtection="1">
      <alignment horizontal="center" vertical="top"/>
      <protection hidden="1"/>
    </xf>
    <xf numFmtId="164" fontId="75" fillId="0" borderId="2" xfId="1" applyNumberFormat="1" applyFont="1" applyBorder="1" applyAlignment="1">
      <alignment horizontal="center" vertical="top"/>
    </xf>
    <xf numFmtId="0" fontId="72" fillId="0" borderId="2" xfId="0" applyFont="1" applyBorder="1" applyAlignment="1" applyProtection="1">
      <alignment horizontal="center" vertical="top" textRotation="90" wrapText="1"/>
      <protection hidden="1"/>
    </xf>
    <xf numFmtId="9" fontId="75" fillId="0" borderId="3" xfId="0" applyNumberFormat="1" applyFont="1" applyBorder="1" applyAlignment="1" applyProtection="1">
      <alignment horizontal="center" vertical="top"/>
      <protection hidden="1"/>
    </xf>
    <xf numFmtId="0" fontId="72" fillId="0" borderId="2" xfId="0" applyFont="1" applyBorder="1" applyAlignment="1" applyProtection="1">
      <alignment horizontal="center" vertical="top" textRotation="90"/>
      <protection hidden="1"/>
    </xf>
    <xf numFmtId="0" fontId="75" fillId="0" borderId="3" xfId="0" applyFont="1" applyBorder="1" applyAlignment="1" applyProtection="1">
      <alignment horizontal="center" vertical="top" textRotation="90"/>
      <protection locked="0"/>
    </xf>
    <xf numFmtId="0" fontId="75" fillId="0" borderId="2" xfId="0" applyFont="1" applyBorder="1" applyAlignment="1" applyProtection="1">
      <alignment horizontal="center" vertical="top"/>
      <protection locked="0"/>
    </xf>
    <xf numFmtId="0" fontId="75" fillId="0" borderId="2" xfId="0" applyFont="1" applyBorder="1" applyAlignment="1">
      <alignment horizontal="center" vertical="center"/>
    </xf>
    <xf numFmtId="0" fontId="75" fillId="0" borderId="3" xfId="0" applyFont="1" applyBorder="1" applyAlignment="1" applyProtection="1">
      <alignment vertical="center" wrapText="1"/>
      <protection locked="0"/>
    </xf>
    <xf numFmtId="0" fontId="75" fillId="0" borderId="3" xfId="0" applyFont="1" applyBorder="1" applyAlignment="1" applyProtection="1">
      <alignment vertical="center"/>
      <protection hidden="1"/>
    </xf>
    <xf numFmtId="0" fontId="75" fillId="0" borderId="3" xfId="0" applyFont="1" applyBorder="1" applyAlignment="1" applyProtection="1">
      <alignment vertical="center" textRotation="90"/>
      <protection locked="0"/>
    </xf>
    <xf numFmtId="9" fontId="75" fillId="0" borderId="3" xfId="0" applyNumberFormat="1" applyFont="1" applyBorder="1" applyAlignment="1" applyProtection="1">
      <alignment vertical="center"/>
      <protection hidden="1"/>
    </xf>
    <xf numFmtId="0" fontId="72" fillId="0" borderId="3" xfId="0" applyFont="1" applyBorder="1" applyAlignment="1" applyProtection="1">
      <alignment vertical="center" textRotation="90" wrapText="1"/>
      <protection hidden="1"/>
    </xf>
    <xf numFmtId="0" fontId="72" fillId="0" borderId="3" xfId="0" applyFont="1" applyBorder="1" applyAlignment="1" applyProtection="1">
      <alignment vertical="center" textRotation="90"/>
      <protection hidden="1"/>
    </xf>
    <xf numFmtId="0" fontId="75" fillId="0" borderId="71" xfId="0" applyFont="1" applyBorder="1" applyAlignment="1" applyProtection="1">
      <alignment horizontal="center" vertical="center"/>
      <protection locked="0"/>
    </xf>
    <xf numFmtId="0" fontId="75" fillId="0" borderId="4" xfId="0" applyFont="1" applyBorder="1" applyAlignment="1" applyProtection="1">
      <alignment vertical="center" wrapText="1"/>
      <protection locked="0"/>
    </xf>
    <xf numFmtId="0" fontId="75" fillId="0" borderId="5" xfId="0" applyFont="1" applyBorder="1" applyAlignment="1" applyProtection="1">
      <alignment vertical="center"/>
      <protection hidden="1"/>
    </xf>
    <xf numFmtId="0" fontId="75" fillId="0" borderId="5" xfId="0" applyFont="1" applyBorder="1" applyAlignment="1" applyProtection="1">
      <alignment vertical="center" textRotation="90"/>
      <protection locked="0"/>
    </xf>
    <xf numFmtId="9" fontId="75" fillId="0" borderId="5" xfId="0" applyNumberFormat="1" applyFont="1" applyBorder="1" applyAlignment="1" applyProtection="1">
      <alignment vertical="center"/>
      <protection hidden="1"/>
    </xf>
    <xf numFmtId="0" fontId="72" fillId="0" borderId="5" xfId="0" applyFont="1" applyBorder="1" applyAlignment="1" applyProtection="1">
      <alignment vertical="center" textRotation="90" wrapText="1"/>
      <protection hidden="1"/>
    </xf>
    <xf numFmtId="0" fontId="72" fillId="0" borderId="5" xfId="0" applyFont="1" applyBorder="1" applyAlignment="1" applyProtection="1">
      <alignment vertical="center" textRotation="90"/>
      <protection hidden="1"/>
    </xf>
    <xf numFmtId="0" fontId="75" fillId="0" borderId="4" xfId="0" applyFont="1" applyBorder="1" applyAlignment="1" applyProtection="1">
      <alignment vertical="center"/>
      <protection hidden="1"/>
    </xf>
    <xf numFmtId="0" fontId="75" fillId="0" borderId="4" xfId="0" applyFont="1" applyBorder="1" applyAlignment="1" applyProtection="1">
      <alignment vertical="center" textRotation="90"/>
      <protection locked="0"/>
    </xf>
    <xf numFmtId="9" fontId="75" fillId="0" borderId="4" xfId="0" applyNumberFormat="1" applyFont="1" applyBorder="1" applyAlignment="1" applyProtection="1">
      <alignment vertical="center"/>
      <protection hidden="1"/>
    </xf>
    <xf numFmtId="0" fontId="72" fillId="0" borderId="4" xfId="0" applyFont="1" applyBorder="1" applyAlignment="1" applyProtection="1">
      <alignment vertical="center" textRotation="90" wrapText="1"/>
      <protection hidden="1"/>
    </xf>
    <xf numFmtId="0" fontId="72" fillId="0" borderId="4" xfId="0" applyFont="1" applyBorder="1" applyAlignment="1" applyProtection="1">
      <alignment vertical="center" textRotation="90"/>
      <protection hidden="1"/>
    </xf>
    <xf numFmtId="164" fontId="75" fillId="0" borderId="2" xfId="1" applyNumberFormat="1" applyFont="1" applyFill="1" applyBorder="1" applyAlignment="1">
      <alignment horizontal="center" vertical="center"/>
    </xf>
    <xf numFmtId="0" fontId="75" fillId="0" borderId="52" xfId="0" applyFont="1" applyBorder="1" applyAlignment="1">
      <alignment horizontal="center" vertical="center" wrapText="1"/>
    </xf>
    <xf numFmtId="0" fontId="75" fillId="0" borderId="52" xfId="0" applyFont="1" applyBorder="1" applyAlignment="1">
      <alignment horizontal="justify" vertical="center" wrapText="1"/>
    </xf>
    <xf numFmtId="0" fontId="75" fillId="0" borderId="74" xfId="0" applyFont="1" applyBorder="1" applyAlignment="1">
      <alignment horizontal="center" vertical="top"/>
    </xf>
    <xf numFmtId="0" fontId="75" fillId="0" borderId="74" xfId="0" applyFont="1" applyBorder="1" applyAlignment="1" applyProtection="1">
      <alignment horizontal="justify" vertical="center" wrapText="1"/>
      <protection locked="0"/>
    </xf>
    <xf numFmtId="0" fontId="75" fillId="0" borderId="74" xfId="0" applyFont="1" applyBorder="1" applyAlignment="1" applyProtection="1">
      <alignment horizontal="center" vertical="top"/>
      <protection hidden="1"/>
    </xf>
    <xf numFmtId="0" fontId="75" fillId="0" borderId="74" xfId="0" applyFont="1" applyBorder="1" applyAlignment="1" applyProtection="1">
      <alignment horizontal="center" vertical="top" textRotation="90"/>
      <protection locked="0"/>
    </xf>
    <xf numFmtId="9" fontId="75" fillId="0" borderId="74" xfId="0" applyNumberFormat="1" applyFont="1" applyBorder="1" applyAlignment="1" applyProtection="1">
      <alignment horizontal="center" vertical="top"/>
      <protection hidden="1"/>
    </xf>
    <xf numFmtId="164" fontId="75" fillId="0" borderId="74" xfId="1" applyNumberFormat="1" applyFont="1" applyBorder="1" applyAlignment="1">
      <alignment horizontal="center" vertical="top"/>
    </xf>
    <xf numFmtId="0" fontId="72" fillId="0" borderId="74" xfId="0" applyFont="1" applyBorder="1" applyAlignment="1" applyProtection="1">
      <alignment horizontal="center" vertical="top" textRotation="90" wrapText="1"/>
      <protection hidden="1"/>
    </xf>
    <xf numFmtId="0" fontId="72" fillId="0" borderId="74" xfId="0" applyFont="1" applyBorder="1" applyAlignment="1" applyProtection="1">
      <alignment horizontal="center" vertical="top" textRotation="90"/>
      <protection hidden="1"/>
    </xf>
    <xf numFmtId="0" fontId="75" fillId="0" borderId="74" xfId="0" applyFont="1" applyBorder="1" applyAlignment="1" applyProtection="1">
      <alignment horizontal="center" vertical="top" wrapText="1"/>
      <protection locked="0"/>
    </xf>
    <xf numFmtId="0" fontId="75" fillId="0" borderId="74" xfId="0" applyFont="1" applyBorder="1" applyAlignment="1" applyProtection="1">
      <alignment horizontal="center" vertical="top"/>
      <protection locked="0"/>
    </xf>
    <xf numFmtId="14" fontId="75" fillId="0" borderId="74" xfId="0" applyNumberFormat="1" applyFont="1" applyBorder="1" applyAlignment="1" applyProtection="1">
      <alignment horizontal="center" vertical="top"/>
      <protection locked="0"/>
    </xf>
    <xf numFmtId="0" fontId="75" fillId="0" borderId="76" xfId="0" applyFont="1" applyBorder="1" applyAlignment="1" applyProtection="1">
      <alignment horizontal="center" vertical="top"/>
      <protection locked="0"/>
    </xf>
    <xf numFmtId="0" fontId="75" fillId="3" borderId="2" xfId="0" applyFont="1" applyFill="1" applyBorder="1" applyAlignment="1" applyProtection="1">
      <alignment horizontal="justify" vertical="center" wrapText="1"/>
      <protection locked="0"/>
    </xf>
    <xf numFmtId="0" fontId="0" fillId="3" borderId="45" xfId="0" applyFill="1" applyBorder="1" applyAlignment="1">
      <alignment horizontal="center"/>
    </xf>
    <xf numFmtId="0" fontId="0" fillId="3" borderId="50" xfId="0" applyFill="1" applyBorder="1" applyAlignment="1">
      <alignment horizontal="center"/>
    </xf>
    <xf numFmtId="0" fontId="0" fillId="3" borderId="46" xfId="0" applyFill="1" applyBorder="1" applyAlignment="1">
      <alignment horizontal="center"/>
    </xf>
    <xf numFmtId="0" fontId="34" fillId="3" borderId="45" xfId="2" applyFont="1" applyFill="1" applyBorder="1" applyAlignment="1">
      <alignment horizontal="center"/>
    </xf>
    <xf numFmtId="0" fontId="34" fillId="3" borderId="50" xfId="2" applyFont="1" applyFill="1" applyBorder="1" applyAlignment="1">
      <alignment horizontal="center"/>
    </xf>
    <xf numFmtId="0" fontId="34" fillId="3" borderId="46" xfId="2" applyFont="1" applyFill="1" applyBorder="1" applyAlignment="1">
      <alignment horizontal="center"/>
    </xf>
    <xf numFmtId="0" fontId="0" fillId="3" borderId="23" xfId="0" applyFill="1" applyBorder="1" applyAlignment="1">
      <alignment horizontal="center"/>
    </xf>
    <xf numFmtId="0" fontId="50" fillId="3" borderId="23" xfId="0" applyFont="1" applyFill="1" applyBorder="1" applyAlignment="1">
      <alignment horizontal="center" vertical="center"/>
    </xf>
    <xf numFmtId="0" fontId="0" fillId="3" borderId="23" xfId="0" applyFill="1" applyBorder="1" applyAlignment="1">
      <alignment horizontal="center" vertical="center"/>
    </xf>
    <xf numFmtId="0" fontId="35" fillId="15" borderId="23" xfId="2" applyFont="1" applyFill="1" applyBorder="1" applyAlignment="1">
      <alignment horizontal="center" vertical="center" wrapText="1"/>
    </xf>
    <xf numFmtId="0" fontId="34" fillId="0" borderId="23" xfId="2" quotePrefix="1" applyFont="1" applyBorder="1" applyAlignment="1">
      <alignment horizontal="left" vertical="center" wrapText="1"/>
    </xf>
    <xf numFmtId="0" fontId="36" fillId="3" borderId="23" xfId="2" quotePrefix="1" applyFont="1" applyFill="1" applyBorder="1" applyAlignment="1">
      <alignment horizontal="left" vertical="top" wrapText="1"/>
    </xf>
    <xf numFmtId="0" fontId="37" fillId="3" borderId="23" xfId="2" quotePrefix="1" applyFont="1" applyFill="1" applyBorder="1" applyAlignment="1">
      <alignment horizontal="left" vertical="top" wrapText="1"/>
    </xf>
    <xf numFmtId="0" fontId="2" fillId="3" borderId="23" xfId="2" quotePrefix="1" applyFont="1" applyFill="1" applyBorder="1" applyAlignment="1">
      <alignment horizontal="justify" vertical="center" wrapText="1"/>
    </xf>
    <xf numFmtId="0" fontId="34" fillId="3" borderId="23" xfId="2" quotePrefix="1" applyFont="1" applyFill="1" applyBorder="1" applyAlignment="1">
      <alignment horizontal="left" vertical="top" wrapText="1"/>
    </xf>
    <xf numFmtId="0" fontId="39" fillId="3" borderId="23" xfId="3" applyFont="1" applyFill="1" applyBorder="1" applyAlignment="1">
      <alignment horizontal="left" vertical="top" wrapText="1" readingOrder="1"/>
    </xf>
    <xf numFmtId="0" fontId="40" fillId="3" borderId="23" xfId="2" applyFont="1" applyFill="1" applyBorder="1" applyAlignment="1">
      <alignment horizontal="justify" vertical="center" wrapText="1"/>
    </xf>
    <xf numFmtId="0" fontId="38" fillId="3" borderId="23" xfId="2" quotePrefix="1" applyFont="1" applyFill="1" applyBorder="1" applyAlignment="1">
      <alignment horizontal="center" vertical="top" wrapText="1"/>
    </xf>
    <xf numFmtId="0" fontId="39" fillId="15" borderId="23" xfId="3" applyFont="1" applyFill="1" applyBorder="1" applyAlignment="1">
      <alignment horizontal="center" vertical="center" wrapText="1"/>
    </xf>
    <xf numFmtId="0" fontId="39" fillId="15" borderId="23" xfId="2" applyFont="1" applyFill="1" applyBorder="1" applyAlignment="1">
      <alignment horizontal="center" vertical="center"/>
    </xf>
    <xf numFmtId="0" fontId="39" fillId="3" borderId="23" xfId="0" applyFont="1" applyFill="1" applyBorder="1" applyAlignment="1">
      <alignment horizontal="left" vertical="center" wrapText="1"/>
    </xf>
    <xf numFmtId="0" fontId="77" fillId="3" borderId="61" xfId="0" applyFont="1" applyFill="1" applyBorder="1" applyAlignment="1">
      <alignment horizontal="center" vertical="center" wrapText="1"/>
    </xf>
    <xf numFmtId="9" fontId="71" fillId="0" borderId="3" xfId="0" applyNumberFormat="1" applyFont="1" applyBorder="1" applyAlignment="1" applyProtection="1">
      <alignment horizontal="center" vertical="top" wrapText="1"/>
      <protection locked="0"/>
    </xf>
    <xf numFmtId="9" fontId="71" fillId="0" borderId="5" xfId="0" applyNumberFormat="1" applyFont="1" applyBorder="1" applyAlignment="1" applyProtection="1">
      <alignment horizontal="center" vertical="top" wrapText="1"/>
      <protection locked="0"/>
    </xf>
    <xf numFmtId="9" fontId="71" fillId="0" borderId="3" xfId="0" applyNumberFormat="1" applyFont="1" applyBorder="1" applyAlignment="1" applyProtection="1">
      <alignment horizontal="center" vertical="top" wrapText="1"/>
      <protection hidden="1"/>
    </xf>
    <xf numFmtId="9" fontId="71" fillId="0" borderId="5" xfId="0" applyNumberFormat="1" applyFont="1" applyBorder="1" applyAlignment="1" applyProtection="1">
      <alignment horizontal="center" vertical="top" wrapText="1"/>
      <protection hidden="1"/>
    </xf>
    <xf numFmtId="0" fontId="76" fillId="0" borderId="3" xfId="0" applyFont="1" applyBorder="1" applyAlignment="1" applyProtection="1">
      <alignment horizontal="center" vertical="top" wrapText="1"/>
      <protection hidden="1"/>
    </xf>
    <xf numFmtId="0" fontId="76" fillId="0" borderId="5" xfId="0" applyFont="1" applyBorder="1" applyAlignment="1" applyProtection="1">
      <alignment horizontal="center" vertical="top" wrapText="1"/>
      <protection hidden="1"/>
    </xf>
    <xf numFmtId="0" fontId="76" fillId="0" borderId="3" xfId="0" applyFont="1" applyBorder="1" applyAlignment="1" applyProtection="1">
      <alignment horizontal="center" vertical="top"/>
      <protection hidden="1"/>
    </xf>
    <xf numFmtId="0" fontId="76" fillId="0" borderId="5" xfId="0" applyFont="1" applyBorder="1" applyAlignment="1" applyProtection="1">
      <alignment horizontal="center" vertical="top"/>
      <protection hidden="1"/>
    </xf>
    <xf numFmtId="0" fontId="71" fillId="0" borderId="3" xfId="0" applyFont="1" applyBorder="1" applyAlignment="1">
      <alignment horizontal="center" vertical="center"/>
    </xf>
    <xf numFmtId="0" fontId="71" fillId="0" borderId="5" xfId="0" applyFont="1" applyBorder="1" applyAlignment="1">
      <alignment horizontal="center" vertical="center"/>
    </xf>
    <xf numFmtId="0" fontId="71" fillId="0" borderId="3" xfId="0" applyFont="1" applyBorder="1" applyAlignment="1" applyProtection="1">
      <alignment horizontal="center" vertical="top" wrapText="1"/>
      <protection locked="0"/>
    </xf>
    <xf numFmtId="0" fontId="71" fillId="0" borderId="5" xfId="0" applyFont="1" applyBorder="1" applyAlignment="1" applyProtection="1">
      <alignment horizontal="center" vertical="top" wrapText="1"/>
      <protection locked="0"/>
    </xf>
    <xf numFmtId="0" fontId="75" fillId="0" borderId="3" xfId="0" applyFont="1" applyBorder="1" applyAlignment="1" applyProtection="1">
      <alignment horizontal="center" vertical="top" wrapText="1"/>
      <protection locked="0"/>
    </xf>
    <xf numFmtId="0" fontId="75" fillId="0" borderId="5" xfId="0" applyFont="1" applyBorder="1" applyAlignment="1" applyProtection="1">
      <alignment horizontal="center" vertical="top" wrapText="1"/>
      <protection locked="0"/>
    </xf>
    <xf numFmtId="0" fontId="71" fillId="9" borderId="3" xfId="0" applyFont="1" applyFill="1" applyBorder="1" applyAlignment="1" applyProtection="1">
      <alignment horizontal="center" vertical="top"/>
      <protection locked="0"/>
    </xf>
    <xf numFmtId="0" fontId="71" fillId="9" borderId="5" xfId="0" applyFont="1" applyFill="1" applyBorder="1" applyAlignment="1" applyProtection="1">
      <alignment horizontal="center" vertical="top"/>
      <protection locked="0"/>
    </xf>
    <xf numFmtId="0" fontId="76" fillId="0" borderId="3" xfId="0" applyFont="1" applyBorder="1" applyAlignment="1" applyProtection="1">
      <alignment horizontal="center" vertical="center" wrapText="1"/>
      <protection hidden="1"/>
    </xf>
    <xf numFmtId="0" fontId="76" fillId="0" borderId="5" xfId="0" applyFont="1" applyBorder="1" applyAlignment="1" applyProtection="1">
      <alignment horizontal="center" vertical="center" wrapText="1"/>
      <protection hidden="1"/>
    </xf>
    <xf numFmtId="0" fontId="76" fillId="0" borderId="4" xfId="0" applyFont="1" applyBorder="1" applyAlignment="1" applyProtection="1">
      <alignment horizontal="center" vertical="center" wrapText="1"/>
      <protection hidden="1"/>
    </xf>
    <xf numFmtId="0" fontId="75" fillId="0" borderId="3" xfId="0" applyFont="1" applyBorder="1" applyAlignment="1" applyProtection="1">
      <alignment horizontal="center" vertical="center" wrapText="1"/>
      <protection locked="0"/>
    </xf>
    <xf numFmtId="0" fontId="75" fillId="0" borderId="5" xfId="0" applyFont="1" applyBorder="1" applyAlignment="1" applyProtection="1">
      <alignment horizontal="center" vertical="center" wrapText="1"/>
      <protection locked="0"/>
    </xf>
    <xf numFmtId="0" fontId="75" fillId="0" borderId="73" xfId="0" applyFont="1" applyBorder="1" applyAlignment="1" applyProtection="1">
      <alignment horizontal="center" vertical="center" wrapText="1"/>
      <protection locked="0"/>
    </xf>
    <xf numFmtId="0" fontId="75" fillId="9" borderId="3" xfId="0" applyFont="1" applyFill="1" applyBorder="1" applyAlignment="1" applyProtection="1">
      <alignment horizontal="center" vertical="center"/>
      <protection locked="0"/>
    </xf>
    <xf numFmtId="0" fontId="75" fillId="9" borderId="5" xfId="0" applyFont="1" applyFill="1" applyBorder="1" applyAlignment="1" applyProtection="1">
      <alignment horizontal="center" vertical="center"/>
      <protection locked="0"/>
    </xf>
    <xf numFmtId="0" fontId="75" fillId="9" borderId="73" xfId="0" applyFont="1" applyFill="1" applyBorder="1" applyAlignment="1" applyProtection="1">
      <alignment horizontal="center" vertical="center"/>
      <protection locked="0"/>
    </xf>
    <xf numFmtId="0" fontId="72" fillId="0" borderId="3" xfId="0" applyFont="1" applyBorder="1" applyAlignment="1" applyProtection="1">
      <alignment horizontal="center" vertical="center" wrapText="1"/>
      <protection hidden="1"/>
    </xf>
    <xf numFmtId="0" fontId="72" fillId="0" borderId="5" xfId="0" applyFont="1" applyBorder="1" applyAlignment="1" applyProtection="1">
      <alignment horizontal="center" vertical="center" wrapText="1"/>
      <protection hidden="1"/>
    </xf>
    <xf numFmtId="0" fontId="72" fillId="0" borderId="73" xfId="0" applyFont="1" applyBorder="1" applyAlignment="1" applyProtection="1">
      <alignment horizontal="center" vertical="center" wrapText="1"/>
      <protection hidden="1"/>
    </xf>
    <xf numFmtId="0" fontId="75" fillId="0" borderId="4" xfId="0" applyFont="1" applyBorder="1" applyAlignment="1" applyProtection="1">
      <alignment horizontal="center" vertical="center" wrapText="1"/>
      <protection locked="0"/>
    </xf>
    <xf numFmtId="0" fontId="72" fillId="0" borderId="4" xfId="0" applyFont="1" applyBorder="1" applyAlignment="1" applyProtection="1">
      <alignment horizontal="center" vertical="center" wrapText="1"/>
      <protection hidden="1"/>
    </xf>
    <xf numFmtId="0" fontId="75" fillId="0" borderId="3" xfId="0" applyFont="1" applyBorder="1" applyAlignment="1">
      <alignment horizontal="center" vertical="center" textRotation="90"/>
    </xf>
    <xf numFmtId="0" fontId="75" fillId="0" borderId="5" xfId="0" applyFont="1" applyBorder="1" applyAlignment="1">
      <alignment horizontal="center" vertical="center" textRotation="90"/>
    </xf>
    <xf numFmtId="0" fontId="75" fillId="0" borderId="4" xfId="0" applyFont="1" applyBorder="1" applyAlignment="1">
      <alignment horizontal="center" vertical="center" textRotation="90"/>
    </xf>
    <xf numFmtId="0" fontId="71" fillId="9" borderId="3" xfId="0" applyFont="1" applyFill="1" applyBorder="1" applyAlignment="1" applyProtection="1">
      <alignment horizontal="center" vertical="center"/>
      <protection locked="0"/>
    </xf>
    <xf numFmtId="0" fontId="71" fillId="9" borderId="5" xfId="0" applyFont="1" applyFill="1" applyBorder="1" applyAlignment="1" applyProtection="1">
      <alignment horizontal="center" vertical="center"/>
      <protection locked="0"/>
    </xf>
    <xf numFmtId="0" fontId="71" fillId="9" borderId="4" xfId="0" applyFont="1" applyFill="1" applyBorder="1" applyAlignment="1" applyProtection="1">
      <alignment horizontal="center" vertical="center"/>
      <protection locked="0"/>
    </xf>
    <xf numFmtId="0" fontId="75" fillId="0" borderId="70" xfId="0" applyFont="1" applyBorder="1" applyAlignment="1">
      <alignment horizontal="center" vertical="center"/>
    </xf>
    <xf numFmtId="0" fontId="75" fillId="0" borderId="81" xfId="0" applyFont="1" applyBorder="1" applyAlignment="1">
      <alignment horizontal="center" vertical="center"/>
    </xf>
    <xf numFmtId="0" fontId="75" fillId="0" borderId="82" xfId="0" applyFont="1" applyBorder="1" applyAlignment="1">
      <alignment horizontal="center" vertical="center"/>
    </xf>
    <xf numFmtId="0" fontId="75" fillId="0" borderId="73" xfId="0" applyFont="1" applyBorder="1" applyAlignment="1">
      <alignment horizontal="center" vertical="center" textRotation="90"/>
    </xf>
    <xf numFmtId="0" fontId="71" fillId="0" borderId="4" xfId="0" applyFont="1" applyBorder="1" applyAlignment="1" applyProtection="1">
      <alignment horizontal="center" vertical="top" wrapText="1"/>
      <protection locked="0"/>
    </xf>
    <xf numFmtId="0" fontId="71" fillId="9" borderId="4" xfId="0" applyFont="1" applyFill="1" applyBorder="1" applyAlignment="1" applyProtection="1">
      <alignment horizontal="center" vertical="top"/>
      <protection locked="0"/>
    </xf>
    <xf numFmtId="0" fontId="71" fillId="0" borderId="4" xfId="0" applyFont="1" applyBorder="1" applyAlignment="1">
      <alignment horizontal="center" vertical="center"/>
    </xf>
    <xf numFmtId="0" fontId="75" fillId="0" borderId="4" xfId="0" applyFont="1" applyBorder="1" applyAlignment="1" applyProtection="1">
      <alignment horizontal="center" vertical="top" wrapText="1"/>
      <protection locked="0"/>
    </xf>
    <xf numFmtId="0" fontId="75" fillId="0" borderId="72" xfId="0" applyFont="1" applyBorder="1" applyAlignment="1">
      <alignment horizontal="center" vertical="center"/>
    </xf>
    <xf numFmtId="0" fontId="75" fillId="0" borderId="53" xfId="0" applyFont="1" applyBorder="1" applyAlignment="1">
      <alignment horizontal="center" vertical="center" wrapText="1"/>
    </xf>
    <xf numFmtId="0" fontId="75" fillId="0" borderId="54" xfId="0" applyFont="1" applyBorder="1" applyAlignment="1">
      <alignment horizontal="center" vertical="center" wrapText="1"/>
    </xf>
    <xf numFmtId="0" fontId="75" fillId="0" borderId="55" xfId="0" applyFont="1" applyBorder="1" applyAlignment="1">
      <alignment horizontal="center" vertical="center" wrapText="1"/>
    </xf>
    <xf numFmtId="0" fontId="75" fillId="0" borderId="56" xfId="0" applyFont="1" applyBorder="1" applyAlignment="1">
      <alignment horizontal="center" vertical="center" wrapText="1"/>
    </xf>
    <xf numFmtId="0" fontId="75" fillId="0" borderId="51" xfId="0" applyFont="1" applyBorder="1" applyAlignment="1">
      <alignment horizontal="center" vertical="center" wrapText="1"/>
    </xf>
    <xf numFmtId="0" fontId="75" fillId="0" borderId="57" xfId="0" applyFont="1" applyBorder="1" applyAlignment="1">
      <alignment horizontal="center" vertical="center" wrapText="1"/>
    </xf>
    <xf numFmtId="9" fontId="71" fillId="0" borderId="3" xfId="0" applyNumberFormat="1" applyFont="1" applyBorder="1" applyAlignment="1" applyProtection="1">
      <alignment horizontal="center" vertical="center" wrapText="1"/>
      <protection locked="0"/>
    </xf>
    <xf numFmtId="9" fontId="71" fillId="0" borderId="5" xfId="0" applyNumberFormat="1" applyFont="1" applyBorder="1" applyAlignment="1" applyProtection="1">
      <alignment horizontal="center" vertical="center" wrapText="1"/>
      <protection locked="0"/>
    </xf>
    <xf numFmtId="9" fontId="71" fillId="0" borderId="4" xfId="0" applyNumberFormat="1" applyFont="1" applyBorder="1" applyAlignment="1" applyProtection="1">
      <alignment horizontal="center" vertical="center" wrapText="1"/>
      <protection locked="0"/>
    </xf>
    <xf numFmtId="9" fontId="75" fillId="0" borderId="3" xfId="0" applyNumberFormat="1" applyFont="1" applyBorder="1" applyAlignment="1" applyProtection="1">
      <alignment horizontal="center" vertical="center" wrapText="1"/>
      <protection locked="0"/>
    </xf>
    <xf numFmtId="9" fontId="75" fillId="0" borderId="5" xfId="0" applyNumberFormat="1" applyFont="1" applyBorder="1" applyAlignment="1" applyProtection="1">
      <alignment horizontal="center" vertical="center" wrapText="1"/>
      <protection locked="0"/>
    </xf>
    <xf numFmtId="9" fontId="75" fillId="0" borderId="73" xfId="0" applyNumberFormat="1" applyFont="1" applyBorder="1" applyAlignment="1" applyProtection="1">
      <alignment horizontal="center" vertical="center" wrapText="1"/>
      <protection locked="0"/>
    </xf>
    <xf numFmtId="0" fontId="76" fillId="0" borderId="4" xfId="0" applyFont="1" applyBorder="1" applyAlignment="1" applyProtection="1">
      <alignment horizontal="center" vertical="top" wrapText="1"/>
      <protection hidden="1"/>
    </xf>
    <xf numFmtId="0" fontId="75" fillId="0" borderId="58" xfId="0" applyFont="1" applyBorder="1" applyAlignment="1">
      <alignment horizontal="center" vertical="center" wrapText="1"/>
    </xf>
    <xf numFmtId="0" fontId="75" fillId="0" borderId="59" xfId="0" applyFont="1" applyBorder="1" applyAlignment="1">
      <alignment horizontal="center" vertical="center" wrapText="1"/>
    </xf>
    <xf numFmtId="0" fontId="75" fillId="0" borderId="60" xfId="0" applyFont="1" applyBorder="1" applyAlignment="1">
      <alignment horizontal="center" vertical="center" wrapText="1"/>
    </xf>
    <xf numFmtId="9" fontId="71" fillId="0" borderId="3" xfId="0" applyNumberFormat="1" applyFont="1" applyBorder="1" applyAlignment="1" applyProtection="1">
      <alignment horizontal="center" vertical="center" wrapText="1"/>
      <protection hidden="1"/>
    </xf>
    <xf numFmtId="9" fontId="71" fillId="0" borderId="5" xfId="0" applyNumberFormat="1" applyFont="1" applyBorder="1" applyAlignment="1" applyProtection="1">
      <alignment horizontal="center" vertical="center" wrapText="1"/>
      <protection hidden="1"/>
    </xf>
    <xf numFmtId="9" fontId="71" fillId="0" borderId="4" xfId="0" applyNumberFormat="1" applyFont="1" applyBorder="1" applyAlignment="1" applyProtection="1">
      <alignment horizontal="center" vertical="center" wrapText="1"/>
      <protection hidden="1"/>
    </xf>
    <xf numFmtId="0" fontId="71" fillId="0" borderId="3" xfId="0" applyFont="1" applyBorder="1" applyAlignment="1" applyProtection="1">
      <alignment horizontal="center" vertical="center" wrapText="1"/>
      <protection locked="0"/>
    </xf>
    <xf numFmtId="0" fontId="71" fillId="0" borderId="5" xfId="0" applyFont="1" applyBorder="1" applyAlignment="1" applyProtection="1">
      <alignment horizontal="center" vertical="center" wrapText="1"/>
      <protection locked="0"/>
    </xf>
    <xf numFmtId="0" fontId="71" fillId="0" borderId="4" xfId="0" applyFont="1" applyBorder="1" applyAlignment="1" applyProtection="1">
      <alignment horizontal="center" vertical="center" wrapText="1"/>
      <protection locked="0"/>
    </xf>
    <xf numFmtId="9" fontId="75" fillId="0" borderId="3" xfId="0" applyNumberFormat="1" applyFont="1" applyBorder="1" applyAlignment="1" applyProtection="1">
      <alignment horizontal="center" vertical="center" wrapText="1"/>
      <protection hidden="1"/>
    </xf>
    <xf numFmtId="9" fontId="75" fillId="0" borderId="5" xfId="0" applyNumberFormat="1" applyFont="1" applyBorder="1" applyAlignment="1" applyProtection="1">
      <alignment horizontal="center" vertical="center" wrapText="1"/>
      <protection hidden="1"/>
    </xf>
    <xf numFmtId="9" fontId="75" fillId="0" borderId="4" xfId="0" applyNumberFormat="1" applyFont="1" applyBorder="1" applyAlignment="1" applyProtection="1">
      <alignment horizontal="center" vertical="center" wrapText="1"/>
      <protection hidden="1"/>
    </xf>
    <xf numFmtId="0" fontId="76" fillId="0" borderId="3" xfId="0" applyFont="1" applyBorder="1" applyAlignment="1" applyProtection="1">
      <alignment horizontal="center" vertical="center"/>
      <protection hidden="1"/>
    </xf>
    <xf numFmtId="0" fontId="76" fillId="0" borderId="5" xfId="0" applyFont="1" applyBorder="1" applyAlignment="1" applyProtection="1">
      <alignment horizontal="center" vertical="center"/>
      <protection hidden="1"/>
    </xf>
    <xf numFmtId="0" fontId="76" fillId="0" borderId="4" xfId="0" applyFont="1" applyBorder="1" applyAlignment="1" applyProtection="1">
      <alignment horizontal="center" vertical="center"/>
      <protection hidden="1"/>
    </xf>
    <xf numFmtId="0" fontId="75" fillId="9" borderId="4" xfId="0" applyFont="1" applyFill="1" applyBorder="1" applyAlignment="1" applyProtection="1">
      <alignment horizontal="center" vertical="center"/>
      <protection locked="0"/>
    </xf>
    <xf numFmtId="9" fontId="75" fillId="0" borderId="4" xfId="0" applyNumberFormat="1" applyFont="1" applyBorder="1" applyAlignment="1" applyProtection="1">
      <alignment horizontal="center" vertical="center" wrapText="1"/>
      <protection locked="0"/>
    </xf>
    <xf numFmtId="0" fontId="72" fillId="0" borderId="3" xfId="0" applyFont="1" applyBorder="1" applyAlignment="1" applyProtection="1">
      <alignment horizontal="center" vertical="center"/>
      <protection hidden="1"/>
    </xf>
    <xf numFmtId="0" fontId="72" fillId="0" borderId="5" xfId="0" applyFont="1" applyBorder="1" applyAlignment="1" applyProtection="1">
      <alignment horizontal="center" vertical="center"/>
      <protection hidden="1"/>
    </xf>
    <xf numFmtId="0" fontId="72" fillId="0" borderId="4" xfId="0" applyFont="1" applyBorder="1" applyAlignment="1" applyProtection="1">
      <alignment horizontal="center" vertical="center"/>
      <protection hidden="1"/>
    </xf>
    <xf numFmtId="9" fontId="75" fillId="0" borderId="73" xfId="0" applyNumberFormat="1" applyFont="1" applyBorder="1" applyAlignment="1" applyProtection="1">
      <alignment horizontal="center" vertical="center" wrapText="1"/>
      <protection hidden="1"/>
    </xf>
    <xf numFmtId="0" fontId="72" fillId="0" borderId="73" xfId="0" applyFont="1" applyBorder="1" applyAlignment="1" applyProtection="1">
      <alignment horizontal="center" vertical="center"/>
      <protection hidden="1"/>
    </xf>
    <xf numFmtId="0" fontId="76" fillId="20" borderId="2" xfId="0" applyFont="1" applyFill="1" applyBorder="1" applyAlignment="1">
      <alignment horizontal="center" vertical="center" wrapText="1"/>
    </xf>
    <xf numFmtId="0" fontId="76" fillId="20" borderId="74" xfId="0" applyFont="1" applyFill="1" applyBorder="1" applyAlignment="1">
      <alignment horizontal="center" vertical="center" wrapText="1"/>
    </xf>
    <xf numFmtId="0" fontId="76" fillId="20" borderId="71" xfId="0" applyFont="1" applyFill="1" applyBorder="1" applyAlignment="1">
      <alignment horizontal="center" vertical="center" wrapText="1"/>
    </xf>
    <xf numFmtId="0" fontId="76" fillId="20" borderId="76" xfId="0" applyFont="1" applyFill="1" applyBorder="1" applyAlignment="1">
      <alignment horizontal="center" vertical="center" wrapText="1"/>
    </xf>
    <xf numFmtId="0" fontId="76" fillId="18" borderId="2" xfId="0" applyFont="1" applyFill="1" applyBorder="1" applyAlignment="1">
      <alignment horizontal="center" vertical="center" wrapText="1"/>
    </xf>
    <xf numFmtId="0" fontId="76" fillId="17" borderId="5" xfId="0" applyFont="1" applyFill="1" applyBorder="1" applyAlignment="1">
      <alignment horizontal="center" vertical="center" wrapText="1"/>
    </xf>
    <xf numFmtId="0" fontId="76" fillId="17" borderId="73" xfId="0" applyFont="1" applyFill="1" applyBorder="1" applyAlignment="1">
      <alignment horizontal="center" vertical="center" wrapText="1"/>
    </xf>
    <xf numFmtId="0" fontId="76" fillId="17" borderId="6" xfId="0" applyFont="1" applyFill="1" applyBorder="1" applyAlignment="1">
      <alignment horizontal="center" vertical="center"/>
    </xf>
    <xf numFmtId="0" fontId="76" fillId="17" borderId="75" xfId="0" applyFont="1" applyFill="1" applyBorder="1" applyAlignment="1">
      <alignment horizontal="center" vertical="center"/>
    </xf>
    <xf numFmtId="0" fontId="76" fillId="17" borderId="68" xfId="0" applyFont="1" applyFill="1" applyBorder="1" applyAlignment="1">
      <alignment horizontal="center" vertical="center"/>
    </xf>
    <xf numFmtId="0" fontId="76" fillId="17" borderId="66" xfId="0" applyFont="1" applyFill="1" applyBorder="1" applyAlignment="1">
      <alignment horizontal="center" vertical="center"/>
    </xf>
    <xf numFmtId="0" fontId="76" fillId="17" borderId="67" xfId="0" applyFont="1" applyFill="1" applyBorder="1" applyAlignment="1">
      <alignment horizontal="center" vertical="center"/>
    </xf>
    <xf numFmtId="0" fontId="76" fillId="19" borderId="3" xfId="0" applyFont="1" applyFill="1" applyBorder="1" applyAlignment="1">
      <alignment horizontal="center" vertical="center" textRotation="90" wrapText="1"/>
    </xf>
    <xf numFmtId="0" fontId="76" fillId="19" borderId="73" xfId="0" applyFont="1" applyFill="1" applyBorder="1" applyAlignment="1">
      <alignment horizontal="center" vertical="center" textRotation="90" wrapText="1"/>
    </xf>
    <xf numFmtId="0" fontId="76" fillId="18" borderId="3" xfId="0" applyFont="1" applyFill="1" applyBorder="1" applyAlignment="1">
      <alignment horizontal="center" vertical="center" textRotation="90" wrapText="1"/>
    </xf>
    <xf numFmtId="0" fontId="76" fillId="18" borderId="73" xfId="0" applyFont="1" applyFill="1" applyBorder="1" applyAlignment="1">
      <alignment horizontal="center" vertical="center" textRotation="90" wrapText="1"/>
    </xf>
    <xf numFmtId="0" fontId="76" fillId="19" borderId="2" xfId="0" applyFont="1" applyFill="1" applyBorder="1" applyAlignment="1">
      <alignment horizontal="center" vertical="center" textRotation="90" wrapText="1"/>
    </xf>
    <xf numFmtId="0" fontId="76" fillId="19" borderId="74" xfId="0" applyFont="1" applyFill="1" applyBorder="1" applyAlignment="1">
      <alignment horizontal="center" vertical="center" textRotation="90" wrapText="1"/>
    </xf>
    <xf numFmtId="0" fontId="76" fillId="18" borderId="74" xfId="0" applyFont="1" applyFill="1" applyBorder="1" applyAlignment="1">
      <alignment horizontal="center" vertical="center" wrapText="1"/>
    </xf>
    <xf numFmtId="0" fontId="76" fillId="16" borderId="3" xfId="0" applyFont="1" applyFill="1" applyBorder="1" applyAlignment="1">
      <alignment horizontal="center" vertical="center" textRotation="90"/>
    </xf>
    <xf numFmtId="0" fontId="76" fillId="16" borderId="73" xfId="0" applyFont="1" applyFill="1" applyBorder="1" applyAlignment="1">
      <alignment horizontal="center" vertical="center" textRotation="90"/>
    </xf>
    <xf numFmtId="0" fontId="76" fillId="16" borderId="4" xfId="0" applyFont="1" applyFill="1" applyBorder="1" applyAlignment="1">
      <alignment horizontal="center" vertical="center" wrapText="1"/>
    </xf>
    <xf numFmtId="0" fontId="76" fillId="16" borderId="74" xfId="0" applyFont="1" applyFill="1" applyBorder="1" applyAlignment="1">
      <alignment horizontal="center" vertical="center" wrapText="1"/>
    </xf>
    <xf numFmtId="0" fontId="76" fillId="16" borderId="2" xfId="0" applyFont="1" applyFill="1" applyBorder="1" applyAlignment="1">
      <alignment horizontal="center" vertical="center"/>
    </xf>
    <xf numFmtId="0" fontId="76" fillId="16" borderId="74" xfId="0" applyFont="1" applyFill="1" applyBorder="1" applyAlignment="1">
      <alignment horizontal="center" vertical="center"/>
    </xf>
    <xf numFmtId="0" fontId="76" fillId="17" borderId="4" xfId="0" applyFont="1" applyFill="1" applyBorder="1" applyAlignment="1">
      <alignment horizontal="center" vertical="center" wrapText="1"/>
    </xf>
    <xf numFmtId="0" fontId="76" fillId="17" borderId="74" xfId="0" applyFont="1" applyFill="1" applyBorder="1" applyAlignment="1">
      <alignment horizontal="center" vertical="center" wrapText="1"/>
    </xf>
    <xf numFmtId="0" fontId="76" fillId="17" borderId="3" xfId="0" applyFont="1" applyFill="1" applyBorder="1" applyAlignment="1">
      <alignment horizontal="center" vertical="center" wrapText="1"/>
    </xf>
    <xf numFmtId="0" fontId="76" fillId="17" borderId="6" xfId="0" applyFont="1" applyFill="1" applyBorder="1" applyAlignment="1">
      <alignment horizontal="center" vertical="center" wrapText="1"/>
    </xf>
    <xf numFmtId="0" fontId="76" fillId="18" borderId="3" xfId="0" applyFont="1" applyFill="1" applyBorder="1" applyAlignment="1">
      <alignment horizontal="center" vertical="center" wrapText="1"/>
    </xf>
    <xf numFmtId="0" fontId="76" fillId="18" borderId="73" xfId="0" applyFont="1" applyFill="1" applyBorder="1" applyAlignment="1">
      <alignment horizontal="center" vertical="center" wrapText="1"/>
    </xf>
    <xf numFmtId="0" fontId="76" fillId="16" borderId="65" xfId="0" applyFont="1" applyFill="1" applyBorder="1" applyAlignment="1">
      <alignment horizontal="center" vertical="center"/>
    </xf>
    <xf numFmtId="0" fontId="76" fillId="16" borderId="66" xfId="0" applyFont="1" applyFill="1" applyBorder="1" applyAlignment="1">
      <alignment horizontal="center" vertical="center"/>
    </xf>
    <xf numFmtId="0" fontId="76" fillId="16" borderId="67" xfId="0" applyFont="1" applyFill="1" applyBorder="1" applyAlignment="1">
      <alignment horizontal="center" vertical="center"/>
    </xf>
    <xf numFmtId="9" fontId="71" fillId="0" borderId="4" xfId="0" applyNumberFormat="1" applyFont="1" applyBorder="1" applyAlignment="1" applyProtection="1">
      <alignment horizontal="center" vertical="top" wrapText="1"/>
      <protection hidden="1"/>
    </xf>
    <xf numFmtId="0" fontId="76" fillId="16" borderId="70" xfId="0" applyFont="1" applyFill="1" applyBorder="1" applyAlignment="1">
      <alignment horizontal="center" vertical="center" textRotation="90"/>
    </xf>
    <xf numFmtId="0" fontId="76" fillId="16" borderId="72" xfId="0" applyFont="1" applyFill="1" applyBorder="1" applyAlignment="1">
      <alignment horizontal="center" vertical="center" textRotation="90"/>
    </xf>
    <xf numFmtId="0" fontId="76" fillId="16" borderId="3" xfId="0" applyFont="1" applyFill="1" applyBorder="1" applyAlignment="1">
      <alignment horizontal="center" vertical="center" wrapText="1"/>
    </xf>
    <xf numFmtId="0" fontId="76" fillId="16" borderId="73" xfId="0" applyFont="1" applyFill="1" applyBorder="1" applyAlignment="1">
      <alignment horizontal="center" vertical="center" wrapText="1"/>
    </xf>
    <xf numFmtId="0" fontId="76" fillId="16" borderId="4" xfId="0" applyFont="1" applyFill="1" applyBorder="1" applyAlignment="1">
      <alignment horizontal="center" vertical="center"/>
    </xf>
    <xf numFmtId="9" fontId="75" fillId="0" borderId="3" xfId="0" applyNumberFormat="1" applyFont="1" applyBorder="1" applyAlignment="1" applyProtection="1">
      <alignment horizontal="center" vertical="top" wrapText="1"/>
      <protection hidden="1"/>
    </xf>
    <xf numFmtId="9" fontId="75" fillId="0" borderId="5" xfId="0" applyNumberFormat="1" applyFont="1" applyBorder="1" applyAlignment="1" applyProtection="1">
      <alignment horizontal="center" vertical="top" wrapText="1"/>
      <protection hidden="1"/>
    </xf>
    <xf numFmtId="9" fontId="75" fillId="0" borderId="4" xfId="0" applyNumberFormat="1" applyFont="1" applyBorder="1" applyAlignment="1" applyProtection="1">
      <alignment horizontal="center" vertical="top" wrapText="1"/>
      <protection hidden="1"/>
    </xf>
    <xf numFmtId="0" fontId="71" fillId="3" borderId="23" xfId="0" applyFont="1" applyFill="1" applyBorder="1" applyAlignment="1">
      <alignment horizontal="center" vertical="center" wrapText="1"/>
    </xf>
    <xf numFmtId="0" fontId="76" fillId="0" borderId="23" xfId="0" applyFont="1" applyBorder="1" applyAlignment="1">
      <alignment horizontal="left" vertical="center"/>
    </xf>
    <xf numFmtId="0" fontId="71" fillId="3" borderId="23" xfId="0" applyFont="1" applyFill="1" applyBorder="1" applyAlignment="1" applyProtection="1">
      <alignment horizontal="left" vertical="center" wrapText="1"/>
      <protection locked="0"/>
    </xf>
    <xf numFmtId="9" fontId="71" fillId="0" borderId="4" xfId="0" applyNumberFormat="1" applyFont="1" applyBorder="1" applyAlignment="1" applyProtection="1">
      <alignment horizontal="center" vertical="top" wrapText="1"/>
      <protection locked="0"/>
    </xf>
    <xf numFmtId="0" fontId="76" fillId="0" borderId="4" xfId="0" applyFont="1" applyBorder="1" applyAlignment="1" applyProtection="1">
      <alignment horizontal="center" vertical="top"/>
      <protection hidden="1"/>
    </xf>
    <xf numFmtId="0" fontId="76" fillId="20" borderId="3" xfId="0" applyFont="1" applyFill="1" applyBorder="1" applyAlignment="1">
      <alignment horizontal="center" vertical="center" wrapText="1"/>
    </xf>
    <xf numFmtId="0" fontId="76" fillId="20" borderId="73" xfId="0" applyFont="1" applyFill="1" applyBorder="1" applyAlignment="1">
      <alignment horizontal="center" vertical="center" wrapText="1"/>
    </xf>
    <xf numFmtId="0" fontId="76" fillId="18" borderId="68" xfId="0" applyFont="1" applyFill="1" applyBorder="1" applyAlignment="1">
      <alignment horizontal="center" vertical="center"/>
    </xf>
    <xf numFmtId="0" fontId="76" fillId="18" borderId="66" xfId="0" applyFont="1" applyFill="1" applyBorder="1" applyAlignment="1">
      <alignment horizontal="center" vertical="center"/>
    </xf>
    <xf numFmtId="0" fontId="76" fillId="18" borderId="67" xfId="0" applyFont="1" applyFill="1" applyBorder="1" applyAlignment="1">
      <alignment horizontal="center" vertical="center"/>
    </xf>
    <xf numFmtId="0" fontId="76" fillId="19" borderId="68" xfId="0" applyFont="1" applyFill="1" applyBorder="1" applyAlignment="1">
      <alignment horizontal="center" vertical="center"/>
    </xf>
    <xf numFmtId="0" fontId="76" fillId="19" borderId="66" xfId="0" applyFont="1" applyFill="1" applyBorder="1" applyAlignment="1">
      <alignment horizontal="center" vertical="center"/>
    </xf>
    <xf numFmtId="0" fontId="76" fillId="19" borderId="67" xfId="0" applyFont="1" applyFill="1" applyBorder="1" applyAlignment="1">
      <alignment horizontal="center" vertical="center"/>
    </xf>
    <xf numFmtId="0" fontId="76" fillId="20" borderId="68" xfId="0" applyFont="1" applyFill="1" applyBorder="1" applyAlignment="1">
      <alignment horizontal="center" vertical="center"/>
    </xf>
    <xf numFmtId="0" fontId="76" fillId="20" borderId="66" xfId="0" applyFont="1" applyFill="1" applyBorder="1" applyAlignment="1">
      <alignment horizontal="center" vertical="center"/>
    </xf>
    <xf numFmtId="0" fontId="76" fillId="20" borderId="69" xfId="0" applyFont="1" applyFill="1" applyBorder="1" applyAlignment="1">
      <alignment horizontal="center" vertical="center"/>
    </xf>
    <xf numFmtId="0" fontId="72" fillId="3" borderId="47" xfId="0" applyFont="1" applyFill="1" applyBorder="1" applyAlignment="1">
      <alignment horizontal="center" vertical="center" wrapText="1"/>
    </xf>
    <xf numFmtId="0" fontId="72" fillId="3" borderId="83" xfId="0" applyFont="1" applyFill="1" applyBorder="1" applyAlignment="1">
      <alignment horizontal="center" vertical="center" wrapText="1"/>
    </xf>
    <xf numFmtId="0" fontId="72" fillId="3" borderId="35" xfId="0" applyFont="1" applyFill="1" applyBorder="1" applyAlignment="1">
      <alignment horizontal="center" vertical="center" wrapText="1"/>
    </xf>
    <xf numFmtId="0" fontId="72" fillId="3" borderId="49" xfId="0" applyFont="1" applyFill="1" applyBorder="1" applyAlignment="1">
      <alignment horizontal="center" vertical="center" wrapText="1"/>
    </xf>
    <xf numFmtId="0" fontId="72" fillId="3" borderId="84" xfId="0" applyFont="1" applyFill="1" applyBorder="1" applyAlignment="1">
      <alignment horizontal="center" vertical="center" wrapText="1"/>
    </xf>
    <xf numFmtId="0" fontId="72" fillId="3" borderId="36" xfId="0" applyFont="1" applyFill="1" applyBorder="1" applyAlignment="1">
      <alignment horizontal="center" vertical="center" wrapText="1"/>
    </xf>
    <xf numFmtId="0" fontId="73" fillId="0" borderId="23" xfId="0" applyFont="1" applyBorder="1" applyAlignment="1">
      <alignment horizontal="left" vertical="center" wrapText="1"/>
    </xf>
    <xf numFmtId="0" fontId="72" fillId="3" borderId="23" xfId="0" applyFont="1" applyFill="1" applyBorder="1" applyAlignment="1">
      <alignment horizontal="left" vertical="center" wrapText="1"/>
    </xf>
    <xf numFmtId="0" fontId="69" fillId="0" borderId="0" xfId="0" applyFont="1" applyAlignment="1">
      <alignment horizontal="left" wrapText="1"/>
    </xf>
    <xf numFmtId="0" fontId="17" fillId="0" borderId="0" xfId="0" applyFont="1" applyAlignment="1">
      <alignment horizontal="center" vertical="center" wrapText="1"/>
    </xf>
    <xf numFmtId="0" fontId="13" fillId="5" borderId="9" xfId="0" applyFont="1" applyFill="1" applyBorder="1" applyAlignment="1" applyProtection="1">
      <alignment horizontal="center" wrapText="1" readingOrder="1"/>
      <protection hidden="1"/>
    </xf>
    <xf numFmtId="0" fontId="13" fillId="5" borderId="0" xfId="0" applyFont="1" applyFill="1" applyAlignment="1" applyProtection="1">
      <alignment horizontal="center" wrapText="1" readingOrder="1"/>
      <protection hidden="1"/>
    </xf>
    <xf numFmtId="0" fontId="13" fillId="5" borderId="10" xfId="0" applyFont="1" applyFill="1" applyBorder="1" applyAlignment="1" applyProtection="1">
      <alignment horizontal="center" wrapText="1" readingOrder="1"/>
      <protection hidden="1"/>
    </xf>
    <xf numFmtId="0" fontId="13" fillId="5" borderId="11" xfId="0" applyFont="1" applyFill="1" applyBorder="1" applyAlignment="1" applyProtection="1">
      <alignment horizontal="center" wrapText="1" readingOrder="1"/>
      <protection hidden="1"/>
    </xf>
    <xf numFmtId="0" fontId="13" fillId="5" borderId="13" xfId="0" applyFont="1" applyFill="1" applyBorder="1" applyAlignment="1" applyProtection="1">
      <alignment horizontal="center" wrapText="1" readingOrder="1"/>
      <protection hidden="1"/>
    </xf>
    <xf numFmtId="0" fontId="13" fillId="5" borderId="12" xfId="0" applyFont="1" applyFill="1" applyBorder="1" applyAlignment="1" applyProtection="1">
      <alignment horizontal="center" wrapText="1" readingOrder="1"/>
      <protection hidden="1"/>
    </xf>
    <xf numFmtId="0" fontId="13" fillId="5" borderId="7" xfId="0" applyFont="1" applyFill="1" applyBorder="1" applyAlignment="1" applyProtection="1">
      <alignment horizontal="center" wrapText="1" readingOrder="1"/>
      <protection hidden="1"/>
    </xf>
    <xf numFmtId="0" fontId="13" fillId="5" borderId="14" xfId="0" applyFont="1" applyFill="1" applyBorder="1" applyAlignment="1" applyProtection="1">
      <alignment horizontal="center" wrapText="1" readingOrder="1"/>
      <protection hidden="1"/>
    </xf>
    <xf numFmtId="0" fontId="13" fillId="5" borderId="8" xfId="0" applyFont="1" applyFill="1" applyBorder="1" applyAlignment="1" applyProtection="1">
      <alignment horizontal="center" wrapText="1" readingOrder="1"/>
      <protection hidden="1"/>
    </xf>
    <xf numFmtId="0" fontId="13" fillId="13" borderId="9" xfId="0" applyFont="1" applyFill="1" applyBorder="1" applyAlignment="1" applyProtection="1">
      <alignment horizontal="center" wrapText="1" readingOrder="1"/>
      <protection hidden="1"/>
    </xf>
    <xf numFmtId="0" fontId="13" fillId="13" borderId="0" xfId="0" applyFont="1" applyFill="1" applyAlignment="1" applyProtection="1">
      <alignment horizontal="center" wrapText="1" readingOrder="1"/>
      <protection hidden="1"/>
    </xf>
    <xf numFmtId="0" fontId="13" fillId="13" borderId="10" xfId="0" applyFont="1" applyFill="1" applyBorder="1" applyAlignment="1" applyProtection="1">
      <alignment horizontal="center" wrapText="1" readingOrder="1"/>
      <protection hidden="1"/>
    </xf>
    <xf numFmtId="0" fontId="13" fillId="13" borderId="11" xfId="0" applyFont="1" applyFill="1" applyBorder="1" applyAlignment="1" applyProtection="1">
      <alignment horizontal="center" wrapText="1" readingOrder="1"/>
      <protection hidden="1"/>
    </xf>
    <xf numFmtId="0" fontId="13" fillId="13" borderId="13" xfId="0" applyFont="1" applyFill="1" applyBorder="1" applyAlignment="1" applyProtection="1">
      <alignment horizontal="center" wrapText="1" readingOrder="1"/>
      <protection hidden="1"/>
    </xf>
    <xf numFmtId="0" fontId="13" fillId="13" borderId="12" xfId="0" applyFont="1" applyFill="1" applyBorder="1" applyAlignment="1" applyProtection="1">
      <alignment horizontal="center" wrapText="1" readingOrder="1"/>
      <protection hidden="1"/>
    </xf>
    <xf numFmtId="0" fontId="13" fillId="13" borderId="7" xfId="0" applyFont="1" applyFill="1" applyBorder="1" applyAlignment="1" applyProtection="1">
      <alignment horizontal="center" wrapText="1" readingOrder="1"/>
      <protection hidden="1"/>
    </xf>
    <xf numFmtId="0" fontId="13" fillId="13" borderId="14" xfId="0" applyFont="1" applyFill="1" applyBorder="1" applyAlignment="1" applyProtection="1">
      <alignment horizontal="center" wrapText="1" readingOrder="1"/>
      <protection hidden="1"/>
    </xf>
    <xf numFmtId="0" fontId="13" fillId="13" borderId="8" xfId="0" applyFont="1" applyFill="1" applyBorder="1" applyAlignment="1" applyProtection="1">
      <alignment horizontal="center" wrapText="1" readingOrder="1"/>
      <protection hidden="1"/>
    </xf>
    <xf numFmtId="0" fontId="13" fillId="12" borderId="9" xfId="0" applyFont="1" applyFill="1" applyBorder="1" applyAlignment="1" applyProtection="1">
      <alignment horizontal="center" wrapText="1" readingOrder="1"/>
      <protection hidden="1"/>
    </xf>
    <xf numFmtId="0" fontId="13" fillId="12" borderId="0" xfId="0" applyFont="1" applyFill="1" applyAlignment="1" applyProtection="1">
      <alignment horizontal="center" wrapText="1" readingOrder="1"/>
      <protection hidden="1"/>
    </xf>
    <xf numFmtId="0" fontId="13" fillId="12" borderId="10" xfId="0" applyFont="1" applyFill="1" applyBorder="1" applyAlignment="1" applyProtection="1">
      <alignment horizontal="center" wrapText="1" readingOrder="1"/>
      <protection hidden="1"/>
    </xf>
    <xf numFmtId="0" fontId="13" fillId="12" borderId="11" xfId="0" applyFont="1" applyFill="1" applyBorder="1" applyAlignment="1" applyProtection="1">
      <alignment horizontal="center" wrapText="1" readingOrder="1"/>
      <protection hidden="1"/>
    </xf>
    <xf numFmtId="0" fontId="13" fillId="12" borderId="13" xfId="0" applyFont="1" applyFill="1" applyBorder="1" applyAlignment="1" applyProtection="1">
      <alignment horizontal="center" wrapText="1" readingOrder="1"/>
      <protection hidden="1"/>
    </xf>
    <xf numFmtId="0" fontId="13" fillId="12" borderId="12" xfId="0" applyFont="1" applyFill="1" applyBorder="1" applyAlignment="1" applyProtection="1">
      <alignment horizontal="center" wrapText="1" readingOrder="1"/>
      <protection hidden="1"/>
    </xf>
    <xf numFmtId="0" fontId="13" fillId="12" borderId="7" xfId="0" applyFont="1" applyFill="1" applyBorder="1" applyAlignment="1" applyProtection="1">
      <alignment horizontal="center" wrapText="1" readingOrder="1"/>
      <protection hidden="1"/>
    </xf>
    <xf numFmtId="0" fontId="13" fillId="12" borderId="14" xfId="0" applyFont="1" applyFill="1" applyBorder="1" applyAlignment="1" applyProtection="1">
      <alignment horizontal="center" wrapText="1" readingOrder="1"/>
      <protection hidden="1"/>
    </xf>
    <xf numFmtId="0" fontId="13" fillId="12" borderId="8" xfId="0" applyFont="1" applyFill="1" applyBorder="1" applyAlignment="1" applyProtection="1">
      <alignment horizontal="center" wrapText="1" readingOrder="1"/>
      <protection hidden="1"/>
    </xf>
    <xf numFmtId="0" fontId="13" fillId="11" borderId="9" xfId="0" applyFont="1" applyFill="1" applyBorder="1" applyAlignment="1" applyProtection="1">
      <alignment horizontal="center" vertical="center" wrapText="1" readingOrder="1"/>
      <protection hidden="1"/>
    </xf>
    <xf numFmtId="0" fontId="13" fillId="11" borderId="0" xfId="0" applyFont="1" applyFill="1" applyAlignment="1" applyProtection="1">
      <alignment horizontal="center" vertical="center" wrapText="1" readingOrder="1"/>
      <protection hidden="1"/>
    </xf>
    <xf numFmtId="0" fontId="13" fillId="11" borderId="10" xfId="0" applyFont="1" applyFill="1" applyBorder="1" applyAlignment="1" applyProtection="1">
      <alignment horizontal="center" vertical="center" wrapText="1" readingOrder="1"/>
      <protection hidden="1"/>
    </xf>
    <xf numFmtId="0" fontId="13" fillId="11" borderId="11" xfId="0" applyFont="1" applyFill="1" applyBorder="1" applyAlignment="1" applyProtection="1">
      <alignment horizontal="center" vertical="center" wrapText="1" readingOrder="1"/>
      <protection hidden="1"/>
    </xf>
    <xf numFmtId="0" fontId="13" fillId="11" borderId="13" xfId="0" applyFont="1" applyFill="1" applyBorder="1" applyAlignment="1" applyProtection="1">
      <alignment horizontal="center" vertical="center" wrapText="1" readingOrder="1"/>
      <protection hidden="1"/>
    </xf>
    <xf numFmtId="0" fontId="13" fillId="11" borderId="12" xfId="0" applyFont="1" applyFill="1" applyBorder="1" applyAlignment="1" applyProtection="1">
      <alignment horizontal="center" vertical="center" wrapText="1" readingOrder="1"/>
      <protection hidden="1"/>
    </xf>
    <xf numFmtId="0" fontId="13" fillId="11" borderId="7" xfId="0" applyFont="1" applyFill="1" applyBorder="1" applyAlignment="1" applyProtection="1">
      <alignment horizontal="center" vertical="center" wrapText="1" readingOrder="1"/>
      <protection hidden="1"/>
    </xf>
    <xf numFmtId="0" fontId="13" fillId="11" borderId="14" xfId="0" applyFont="1" applyFill="1" applyBorder="1" applyAlignment="1" applyProtection="1">
      <alignment horizontal="center" vertical="center" wrapText="1" readingOrder="1"/>
      <protection hidden="1"/>
    </xf>
    <xf numFmtId="0" fontId="13" fillId="11" borderId="8" xfId="0" applyFont="1" applyFill="1" applyBorder="1" applyAlignment="1" applyProtection="1">
      <alignment horizontal="center" vertical="center" wrapText="1" readingOrder="1"/>
      <protection hidden="1"/>
    </xf>
    <xf numFmtId="0" fontId="11" fillId="10" borderId="0" xfId="0" applyFont="1" applyFill="1" applyAlignment="1">
      <alignment horizontal="center" vertical="center" wrapText="1" readingOrder="1"/>
    </xf>
    <xf numFmtId="0" fontId="10" fillId="0" borderId="7" xfId="0" applyFont="1" applyBorder="1" applyAlignment="1">
      <alignment horizontal="center" vertical="center" wrapText="1"/>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wrapText="1"/>
    </xf>
    <xf numFmtId="0" fontId="11" fillId="10" borderId="0" xfId="0" applyFont="1" applyFill="1" applyAlignment="1">
      <alignment horizontal="center" vertical="center" textRotation="90" wrapText="1" readingOrder="1"/>
    </xf>
    <xf numFmtId="0" fontId="11" fillId="10" borderId="10" xfId="0" applyFont="1" applyFill="1" applyBorder="1" applyAlignment="1">
      <alignment horizontal="center" vertical="center" textRotation="90" wrapText="1" readingOrder="1"/>
    </xf>
    <xf numFmtId="0" fontId="14" fillId="12" borderId="15" xfId="0" applyFont="1" applyFill="1" applyBorder="1" applyAlignment="1">
      <alignment horizontal="center" vertical="center" wrapText="1" readingOrder="1"/>
    </xf>
    <xf numFmtId="0" fontId="14" fillId="12" borderId="16" xfId="0" applyFont="1" applyFill="1" applyBorder="1" applyAlignment="1">
      <alignment horizontal="center" vertical="center" wrapText="1" readingOrder="1"/>
    </xf>
    <xf numFmtId="0" fontId="14" fillId="12" borderId="17" xfId="0" applyFont="1" applyFill="1" applyBorder="1" applyAlignment="1">
      <alignment horizontal="center" vertical="center" wrapText="1" readingOrder="1"/>
    </xf>
    <xf numFmtId="0" fontId="14" fillId="12" borderId="18" xfId="0" applyFont="1" applyFill="1" applyBorder="1" applyAlignment="1">
      <alignment horizontal="center" vertical="center" wrapText="1" readingOrder="1"/>
    </xf>
    <xf numFmtId="0" fontId="14" fillId="12" borderId="0" xfId="0" applyFont="1" applyFill="1" applyAlignment="1">
      <alignment horizontal="center" vertical="center" wrapText="1" readingOrder="1"/>
    </xf>
    <xf numFmtId="0" fontId="14" fillId="12" borderId="19" xfId="0" applyFont="1" applyFill="1" applyBorder="1" applyAlignment="1">
      <alignment horizontal="center" vertical="center" wrapText="1" readingOrder="1"/>
    </xf>
    <xf numFmtId="0" fontId="14" fillId="12" borderId="20" xfId="0" applyFont="1" applyFill="1" applyBorder="1" applyAlignment="1">
      <alignment horizontal="center" vertical="center" wrapText="1" readingOrder="1"/>
    </xf>
    <xf numFmtId="0" fontId="14" fillId="12" borderId="21" xfId="0" applyFont="1" applyFill="1" applyBorder="1" applyAlignment="1">
      <alignment horizontal="center" vertical="center" wrapText="1" readingOrder="1"/>
    </xf>
    <xf numFmtId="0" fontId="14" fillId="12" borderId="22" xfId="0" applyFont="1" applyFill="1" applyBorder="1" applyAlignment="1">
      <alignment horizontal="center" vertical="center" wrapText="1" readingOrder="1"/>
    </xf>
    <xf numFmtId="0" fontId="14" fillId="11" borderId="15" xfId="0" applyFont="1" applyFill="1" applyBorder="1" applyAlignment="1">
      <alignment horizontal="center" vertical="center" wrapText="1" readingOrder="1"/>
    </xf>
    <xf numFmtId="0" fontId="14" fillId="11" borderId="16" xfId="0" applyFont="1" applyFill="1" applyBorder="1" applyAlignment="1">
      <alignment horizontal="center" vertical="center" wrapText="1" readingOrder="1"/>
    </xf>
    <xf numFmtId="0" fontId="14" fillId="11" borderId="17" xfId="0" applyFont="1" applyFill="1" applyBorder="1" applyAlignment="1">
      <alignment horizontal="center" vertical="center" wrapText="1" readingOrder="1"/>
    </xf>
    <xf numFmtId="0" fontId="14" fillId="11" borderId="18" xfId="0" applyFont="1" applyFill="1" applyBorder="1" applyAlignment="1">
      <alignment horizontal="center" vertical="center" wrapText="1" readingOrder="1"/>
    </xf>
    <xf numFmtId="0" fontId="14" fillId="11" borderId="0" xfId="0" applyFont="1" applyFill="1" applyAlignment="1">
      <alignment horizontal="center" vertical="center" wrapText="1" readingOrder="1"/>
    </xf>
    <xf numFmtId="0" fontId="14" fillId="11" borderId="19" xfId="0" applyFont="1" applyFill="1" applyBorder="1" applyAlignment="1">
      <alignment horizontal="center" vertical="center" wrapText="1" readingOrder="1"/>
    </xf>
    <xf numFmtId="0" fontId="14" fillId="11" borderId="20" xfId="0" applyFont="1" applyFill="1" applyBorder="1" applyAlignment="1">
      <alignment horizontal="center" vertical="center" wrapText="1" readingOrder="1"/>
    </xf>
    <xf numFmtId="0" fontId="14" fillId="11" borderId="21" xfId="0" applyFont="1" applyFill="1" applyBorder="1" applyAlignment="1">
      <alignment horizontal="center" vertical="center" wrapText="1" readingOrder="1"/>
    </xf>
    <xf numFmtId="0" fontId="14" fillId="11" borderId="22" xfId="0" applyFont="1" applyFill="1" applyBorder="1" applyAlignment="1">
      <alignment horizontal="center" vertical="center" wrapText="1" readingOrder="1"/>
    </xf>
    <xf numFmtId="0" fontId="14" fillId="13" borderId="15" xfId="0" applyFont="1" applyFill="1" applyBorder="1" applyAlignment="1">
      <alignment horizontal="center" vertical="center" wrapText="1" readingOrder="1"/>
    </xf>
    <xf numFmtId="0" fontId="14" fillId="13" borderId="16" xfId="0" applyFont="1" applyFill="1" applyBorder="1" applyAlignment="1">
      <alignment horizontal="center" vertical="center" wrapText="1" readingOrder="1"/>
    </xf>
    <xf numFmtId="0" fontId="14" fillId="13" borderId="17" xfId="0" applyFont="1" applyFill="1" applyBorder="1" applyAlignment="1">
      <alignment horizontal="center" vertical="center" wrapText="1" readingOrder="1"/>
    </xf>
    <xf numFmtId="0" fontId="14" fillId="13" borderId="18" xfId="0" applyFont="1" applyFill="1" applyBorder="1" applyAlignment="1">
      <alignment horizontal="center" vertical="center" wrapText="1" readingOrder="1"/>
    </xf>
    <xf numFmtId="0" fontId="14" fillId="13" borderId="0" xfId="0" applyFont="1" applyFill="1" applyAlignment="1">
      <alignment horizontal="center" vertical="center" wrapText="1" readingOrder="1"/>
    </xf>
    <xf numFmtId="0" fontId="14" fillId="13" borderId="19" xfId="0" applyFont="1" applyFill="1" applyBorder="1" applyAlignment="1">
      <alignment horizontal="center" vertical="center" wrapText="1" readingOrder="1"/>
    </xf>
    <xf numFmtId="0" fontId="14" fillId="13" borderId="20" xfId="0" applyFont="1" applyFill="1" applyBorder="1" applyAlignment="1">
      <alignment horizontal="center" vertical="center" wrapText="1" readingOrder="1"/>
    </xf>
    <xf numFmtId="0" fontId="14" fillId="13" borderId="21" xfId="0" applyFont="1" applyFill="1" applyBorder="1" applyAlignment="1">
      <alignment horizontal="center" vertical="center" wrapText="1" readingOrder="1"/>
    </xf>
    <xf numFmtId="0" fontId="14" fillId="13" borderId="22" xfId="0" applyFont="1" applyFill="1" applyBorder="1" applyAlignment="1">
      <alignment horizontal="center" vertical="center" wrapText="1" readingOrder="1"/>
    </xf>
    <xf numFmtId="0" fontId="14" fillId="5" borderId="15" xfId="0" applyFont="1" applyFill="1" applyBorder="1" applyAlignment="1">
      <alignment horizontal="center" vertical="center" wrapText="1" readingOrder="1"/>
    </xf>
    <xf numFmtId="0" fontId="14" fillId="5" borderId="16" xfId="0" applyFont="1" applyFill="1" applyBorder="1" applyAlignment="1">
      <alignment horizontal="center" vertical="center" wrapText="1" readingOrder="1"/>
    </xf>
    <xf numFmtId="0" fontId="14" fillId="5" borderId="17" xfId="0" applyFont="1" applyFill="1" applyBorder="1" applyAlignment="1">
      <alignment horizontal="center" vertical="center" wrapText="1" readingOrder="1"/>
    </xf>
    <xf numFmtId="0" fontId="14" fillId="5" borderId="18" xfId="0" applyFont="1" applyFill="1" applyBorder="1" applyAlignment="1">
      <alignment horizontal="center" vertical="center" wrapText="1" readingOrder="1"/>
    </xf>
    <xf numFmtId="0" fontId="14" fillId="5" borderId="0" xfId="0" applyFont="1" applyFill="1" applyAlignment="1">
      <alignment horizontal="center" vertical="center" wrapText="1" readingOrder="1"/>
    </xf>
    <xf numFmtId="0" fontId="14" fillId="5" borderId="19" xfId="0" applyFont="1" applyFill="1" applyBorder="1" applyAlignment="1">
      <alignment horizontal="center" vertical="center" wrapText="1" readingOrder="1"/>
    </xf>
    <xf numFmtId="0" fontId="14" fillId="5" borderId="20" xfId="0" applyFont="1" applyFill="1" applyBorder="1" applyAlignment="1">
      <alignment horizontal="center" vertical="center" wrapText="1" readingOrder="1"/>
    </xf>
    <xf numFmtId="0" fontId="14" fillId="5" borderId="21" xfId="0" applyFont="1" applyFill="1" applyBorder="1" applyAlignment="1">
      <alignment horizontal="center" vertical="center" wrapText="1" readingOrder="1"/>
    </xf>
    <xf numFmtId="0" fontId="14" fillId="5" borderId="22" xfId="0" applyFont="1" applyFill="1" applyBorder="1" applyAlignment="1">
      <alignment horizontal="center" vertical="center" wrapText="1" readingOrder="1"/>
    </xf>
    <xf numFmtId="0" fontId="29" fillId="0" borderId="7" xfId="0" applyFont="1" applyBorder="1" applyAlignment="1">
      <alignment horizontal="center" vertical="center" wrapText="1"/>
    </xf>
    <xf numFmtId="0" fontId="29" fillId="0" borderId="14"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0" xfId="0" applyFont="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14" xfId="0" applyFont="1" applyBorder="1" applyAlignment="1">
      <alignment horizontal="center" vertical="center" wrapText="1"/>
    </xf>
    <xf numFmtId="0" fontId="28" fillId="11" borderId="15" xfId="0" applyFont="1" applyFill="1" applyBorder="1" applyAlignment="1">
      <alignment horizontal="center" vertical="center" wrapText="1" readingOrder="1"/>
    </xf>
    <xf numFmtId="0" fontId="28" fillId="11" borderId="16" xfId="0" applyFont="1" applyFill="1" applyBorder="1" applyAlignment="1">
      <alignment horizontal="center" vertical="center" wrapText="1" readingOrder="1"/>
    </xf>
    <xf numFmtId="0" fontId="28" fillId="11" borderId="17" xfId="0" applyFont="1" applyFill="1" applyBorder="1" applyAlignment="1">
      <alignment horizontal="center" vertical="center" wrapText="1" readingOrder="1"/>
    </xf>
    <xf numFmtId="0" fontId="28" fillId="11" borderId="18" xfId="0" applyFont="1" applyFill="1" applyBorder="1" applyAlignment="1">
      <alignment horizontal="center" vertical="center" wrapText="1" readingOrder="1"/>
    </xf>
    <xf numFmtId="0" fontId="28" fillId="11" borderId="0" xfId="0" applyFont="1" applyFill="1" applyAlignment="1">
      <alignment horizontal="center" vertical="center" wrapText="1" readingOrder="1"/>
    </xf>
    <xf numFmtId="0" fontId="28" fillId="11" borderId="19" xfId="0" applyFont="1" applyFill="1" applyBorder="1" applyAlignment="1">
      <alignment horizontal="center" vertical="center" wrapText="1" readingOrder="1"/>
    </xf>
    <xf numFmtId="0" fontId="28" fillId="11" borderId="20" xfId="0" applyFont="1" applyFill="1" applyBorder="1" applyAlignment="1">
      <alignment horizontal="center" vertical="center" wrapText="1" readingOrder="1"/>
    </xf>
    <xf numFmtId="0" fontId="28" fillId="11" borderId="21" xfId="0" applyFont="1" applyFill="1" applyBorder="1" applyAlignment="1">
      <alignment horizontal="center" vertical="center" wrapText="1" readingOrder="1"/>
    </xf>
    <xf numFmtId="0" fontId="28" fillId="11" borderId="22" xfId="0" applyFont="1" applyFill="1" applyBorder="1" applyAlignment="1">
      <alignment horizontal="center" vertical="center" wrapText="1" readingOrder="1"/>
    </xf>
    <xf numFmtId="0" fontId="29" fillId="0" borderId="9" xfId="0" applyFont="1" applyBorder="1" applyAlignment="1">
      <alignment horizontal="center" vertical="center" wrapText="1"/>
    </xf>
    <xf numFmtId="0" fontId="28" fillId="12" borderId="15" xfId="0" applyFont="1" applyFill="1" applyBorder="1" applyAlignment="1">
      <alignment horizontal="center" vertical="center" wrapText="1" readingOrder="1"/>
    </xf>
    <xf numFmtId="0" fontId="28" fillId="12" borderId="16" xfId="0" applyFont="1" applyFill="1" applyBorder="1" applyAlignment="1">
      <alignment horizontal="center" vertical="center" wrapText="1" readingOrder="1"/>
    </xf>
    <xf numFmtId="0" fontId="28" fillId="12" borderId="17" xfId="0" applyFont="1" applyFill="1" applyBorder="1" applyAlignment="1">
      <alignment horizontal="center" vertical="center" wrapText="1" readingOrder="1"/>
    </xf>
    <xf numFmtId="0" fontId="28" fillId="12" borderId="18" xfId="0" applyFont="1" applyFill="1" applyBorder="1" applyAlignment="1">
      <alignment horizontal="center" vertical="center" wrapText="1" readingOrder="1"/>
    </xf>
    <xf numFmtId="0" fontId="28" fillId="12" borderId="0" xfId="0" applyFont="1" applyFill="1" applyAlignment="1">
      <alignment horizontal="center" vertical="center" wrapText="1" readingOrder="1"/>
    </xf>
    <xf numFmtId="0" fontId="28" fillId="12" borderId="19" xfId="0" applyFont="1" applyFill="1" applyBorder="1" applyAlignment="1">
      <alignment horizontal="center" vertical="center" wrapText="1" readingOrder="1"/>
    </xf>
    <xf numFmtId="0" fontId="28" fillId="12" borderId="20" xfId="0" applyFont="1" applyFill="1" applyBorder="1" applyAlignment="1">
      <alignment horizontal="center" vertical="center" wrapText="1" readingOrder="1"/>
    </xf>
    <xf numFmtId="0" fontId="28" fillId="12" borderId="21" xfId="0" applyFont="1" applyFill="1" applyBorder="1" applyAlignment="1">
      <alignment horizontal="center" vertical="center" wrapText="1" readingOrder="1"/>
    </xf>
    <xf numFmtId="0" fontId="28" fillId="12" borderId="22" xfId="0" applyFont="1" applyFill="1" applyBorder="1" applyAlignment="1">
      <alignment horizontal="center" vertical="center" wrapText="1" readingOrder="1"/>
    </xf>
    <xf numFmtId="0" fontId="27" fillId="0" borderId="0" xfId="0" applyFont="1" applyAlignment="1">
      <alignment horizontal="center" vertical="center" wrapText="1"/>
    </xf>
    <xf numFmtId="0" fontId="15" fillId="0" borderId="0" xfId="0" applyFont="1" applyAlignment="1">
      <alignment horizontal="center" vertical="center" wrapText="1"/>
    </xf>
    <xf numFmtId="0" fontId="28" fillId="5" borderId="15" xfId="0" applyFont="1" applyFill="1" applyBorder="1" applyAlignment="1">
      <alignment horizontal="center" vertical="center" wrapText="1" readingOrder="1"/>
    </xf>
    <xf numFmtId="0" fontId="28" fillId="5" borderId="16" xfId="0" applyFont="1" applyFill="1" applyBorder="1" applyAlignment="1">
      <alignment horizontal="center" vertical="center" wrapText="1" readingOrder="1"/>
    </xf>
    <xf numFmtId="0" fontId="28" fillId="5" borderId="17" xfId="0" applyFont="1" applyFill="1" applyBorder="1" applyAlignment="1">
      <alignment horizontal="center" vertical="center" wrapText="1" readingOrder="1"/>
    </xf>
    <xf numFmtId="0" fontId="28" fillId="5" borderId="18" xfId="0" applyFont="1" applyFill="1" applyBorder="1" applyAlignment="1">
      <alignment horizontal="center" vertical="center" wrapText="1" readingOrder="1"/>
    </xf>
    <xf numFmtId="0" fontId="28" fillId="5" borderId="0" xfId="0" applyFont="1" applyFill="1" applyAlignment="1">
      <alignment horizontal="center" vertical="center" wrapText="1" readingOrder="1"/>
    </xf>
    <xf numFmtId="0" fontId="28" fillId="5" borderId="19" xfId="0" applyFont="1" applyFill="1" applyBorder="1" applyAlignment="1">
      <alignment horizontal="center" vertical="center" wrapText="1" readingOrder="1"/>
    </xf>
    <xf numFmtId="0" fontId="28" fillId="5" borderId="20" xfId="0" applyFont="1" applyFill="1" applyBorder="1" applyAlignment="1">
      <alignment horizontal="center" vertical="center" wrapText="1" readingOrder="1"/>
    </xf>
    <xf numFmtId="0" fontId="28" fillId="5" borderId="21" xfId="0" applyFont="1" applyFill="1" applyBorder="1" applyAlignment="1">
      <alignment horizontal="center" vertical="center" wrapText="1" readingOrder="1"/>
    </xf>
    <xf numFmtId="0" fontId="28" fillId="5" borderId="22" xfId="0" applyFont="1" applyFill="1" applyBorder="1" applyAlignment="1">
      <alignment horizontal="center" vertical="center" wrapText="1" readingOrder="1"/>
    </xf>
    <xf numFmtId="0" fontId="28" fillId="13" borderId="15" xfId="0" applyFont="1" applyFill="1" applyBorder="1" applyAlignment="1">
      <alignment horizontal="center" vertical="center" wrapText="1" readingOrder="1"/>
    </xf>
    <xf numFmtId="0" fontId="28" fillId="13" borderId="16" xfId="0" applyFont="1" applyFill="1" applyBorder="1" applyAlignment="1">
      <alignment horizontal="center" vertical="center" wrapText="1" readingOrder="1"/>
    </xf>
    <xf numFmtId="0" fontId="28" fillId="13" borderId="17" xfId="0" applyFont="1" applyFill="1" applyBorder="1" applyAlignment="1">
      <alignment horizontal="center" vertical="center" wrapText="1" readingOrder="1"/>
    </xf>
    <xf numFmtId="0" fontId="28" fillId="13" borderId="18" xfId="0" applyFont="1" applyFill="1" applyBorder="1" applyAlignment="1">
      <alignment horizontal="center" vertical="center" wrapText="1" readingOrder="1"/>
    </xf>
    <xf numFmtId="0" fontId="28" fillId="13" borderId="0" xfId="0" applyFont="1" applyFill="1" applyAlignment="1">
      <alignment horizontal="center" vertical="center" wrapText="1" readingOrder="1"/>
    </xf>
    <xf numFmtId="0" fontId="28" fillId="13" borderId="19" xfId="0" applyFont="1" applyFill="1" applyBorder="1" applyAlignment="1">
      <alignment horizontal="center" vertical="center" wrapText="1" readingOrder="1"/>
    </xf>
    <xf numFmtId="0" fontId="28" fillId="13" borderId="20" xfId="0" applyFont="1" applyFill="1" applyBorder="1" applyAlignment="1">
      <alignment horizontal="center" vertical="center" wrapText="1" readingOrder="1"/>
    </xf>
    <xf numFmtId="0" fontId="28" fillId="13" borderId="21" xfId="0" applyFont="1" applyFill="1" applyBorder="1" applyAlignment="1">
      <alignment horizontal="center" vertical="center" wrapText="1" readingOrder="1"/>
    </xf>
    <xf numFmtId="0" fontId="28" fillId="13" borderId="22" xfId="0" applyFont="1" applyFill="1" applyBorder="1" applyAlignment="1">
      <alignment horizontal="center" vertical="center" wrapText="1" readingOrder="1"/>
    </xf>
    <xf numFmtId="0" fontId="62" fillId="0" borderId="23" xfId="0" applyFont="1" applyBorder="1" applyAlignment="1">
      <alignment horizontal="center" vertical="center"/>
    </xf>
    <xf numFmtId="0" fontId="52" fillId="0" borderId="44" xfId="0" applyFont="1" applyBorder="1" applyAlignment="1">
      <alignment horizontal="center"/>
    </xf>
    <xf numFmtId="0" fontId="52" fillId="0" borderId="41" xfId="0" applyFont="1" applyBorder="1" applyAlignment="1">
      <alignment horizontal="center"/>
    </xf>
    <xf numFmtId="0" fontId="52" fillId="0" borderId="24" xfId="0" applyFont="1" applyBorder="1" applyAlignment="1">
      <alignment horizontal="center"/>
    </xf>
    <xf numFmtId="0" fontId="50" fillId="0" borderId="44" xfId="0" applyFont="1" applyBorder="1" applyAlignment="1">
      <alignment horizontal="center" vertical="center"/>
    </xf>
    <xf numFmtId="0" fontId="52" fillId="0" borderId="41" xfId="0" applyFont="1" applyBorder="1" applyAlignment="1">
      <alignment horizontal="center" vertical="center"/>
    </xf>
    <xf numFmtId="0" fontId="52" fillId="0" borderId="24" xfId="0" applyFont="1" applyBorder="1" applyAlignment="1">
      <alignment horizontal="center" vertical="center"/>
    </xf>
    <xf numFmtId="0" fontId="54" fillId="6" borderId="45" xfId="0" applyFont="1" applyFill="1" applyBorder="1" applyAlignment="1">
      <alignment horizontal="center" vertical="center" wrapText="1" readingOrder="1"/>
    </xf>
    <xf numFmtId="0" fontId="54" fillId="6" borderId="50" xfId="0" applyFont="1" applyFill="1" applyBorder="1" applyAlignment="1">
      <alignment horizontal="center" vertical="center" wrapText="1" readingOrder="1"/>
    </xf>
    <xf numFmtId="0" fontId="54" fillId="6" borderId="46" xfId="0" applyFont="1" applyFill="1" applyBorder="1" applyAlignment="1">
      <alignment horizontal="center" vertical="center" wrapText="1" readingOrder="1"/>
    </xf>
    <xf numFmtId="0" fontId="53" fillId="0" borderId="23" xfId="0" applyFont="1" applyBorder="1" applyAlignment="1">
      <alignment horizontal="center" vertical="center"/>
    </xf>
    <xf numFmtId="0" fontId="52" fillId="0" borderId="23" xfId="0" applyFont="1" applyBorder="1" applyAlignment="1">
      <alignment horizontal="center"/>
    </xf>
    <xf numFmtId="0" fontId="51" fillId="0" borderId="47" xfId="0" applyFont="1" applyBorder="1" applyAlignment="1">
      <alignment horizontal="center" vertical="center"/>
    </xf>
    <xf numFmtId="0" fontId="51" fillId="0" borderId="35" xfId="0" applyFont="1" applyBorder="1" applyAlignment="1">
      <alignment horizontal="center" vertical="center"/>
    </xf>
    <xf numFmtId="0" fontId="51" fillId="0" borderId="48" xfId="0" applyFont="1" applyBorder="1" applyAlignment="1">
      <alignment horizontal="center" vertical="center"/>
    </xf>
    <xf numFmtId="0" fontId="51" fillId="0" borderId="37" xfId="0" applyFont="1" applyBorder="1" applyAlignment="1">
      <alignment horizontal="center" vertical="center"/>
    </xf>
    <xf numFmtId="0" fontId="51" fillId="0" borderId="49" xfId="0" applyFont="1" applyBorder="1" applyAlignment="1">
      <alignment horizontal="center" vertical="center"/>
    </xf>
    <xf numFmtId="0" fontId="51" fillId="0" borderId="36" xfId="0" applyFont="1" applyBorder="1" applyAlignment="1">
      <alignment horizontal="center" vertical="center"/>
    </xf>
    <xf numFmtId="0" fontId="5" fillId="3" borderId="23" xfId="0" applyFont="1" applyFill="1" applyBorder="1" applyAlignment="1">
      <alignment horizontal="center"/>
    </xf>
    <xf numFmtId="0" fontId="26" fillId="14" borderId="11" xfId="0" applyFont="1" applyFill="1" applyBorder="1" applyAlignment="1">
      <alignment horizontal="center" vertical="center" wrapText="1" readingOrder="1"/>
    </xf>
    <xf numFmtId="0" fontId="26" fillId="14" borderId="13" xfId="0" applyFont="1" applyFill="1" applyBorder="1" applyAlignment="1">
      <alignment horizontal="center" vertical="center" wrapText="1" readingOrder="1"/>
    </xf>
    <xf numFmtId="0" fontId="26" fillId="14" borderId="12" xfId="0" applyFont="1" applyFill="1" applyBorder="1" applyAlignment="1">
      <alignment horizontal="center" vertical="center" wrapText="1" readingOrder="1"/>
    </xf>
    <xf numFmtId="0" fontId="21" fillId="3" borderId="0" xfId="0" applyFont="1" applyFill="1" applyAlignment="1">
      <alignment horizontal="justify" vertical="center" wrapText="1"/>
    </xf>
    <xf numFmtId="0" fontId="23" fillId="14" borderId="32" xfId="0" applyFont="1" applyFill="1" applyBorder="1" applyAlignment="1">
      <alignment horizontal="center" vertical="center" wrapText="1" readingOrder="1"/>
    </xf>
    <xf numFmtId="0" fontId="23" fillId="14" borderId="33" xfId="0" applyFont="1" applyFill="1" applyBorder="1" applyAlignment="1">
      <alignment horizontal="center" vertical="center" wrapText="1" readingOrder="1"/>
    </xf>
    <xf numFmtId="0" fontId="23" fillId="3" borderId="42" xfId="0" applyFont="1" applyFill="1" applyBorder="1" applyAlignment="1">
      <alignment horizontal="center" vertical="center" wrapText="1" readingOrder="1"/>
    </xf>
    <xf numFmtId="0" fontId="23" fillId="3" borderId="43" xfId="0" applyFont="1" applyFill="1" applyBorder="1" applyAlignment="1">
      <alignment horizontal="center" vertical="center" wrapText="1" readingOrder="1"/>
    </xf>
    <xf numFmtId="0" fontId="23" fillId="3" borderId="30" xfId="0" applyFont="1" applyFill="1" applyBorder="1" applyAlignment="1">
      <alignment horizontal="center" vertical="center" wrapText="1" readingOrder="1"/>
    </xf>
    <xf numFmtId="0" fontId="23" fillId="3" borderId="40" xfId="0" applyFont="1" applyFill="1" applyBorder="1" applyAlignment="1">
      <alignment horizontal="center" vertical="center" wrapText="1" readingOrder="1"/>
    </xf>
    <xf numFmtId="0" fontId="23" fillId="3" borderId="41"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3"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8" xfId="0" applyFont="1" applyFill="1" applyBorder="1" applyAlignment="1">
      <alignment horizontal="center" vertical="center" wrapText="1" readingOrder="1"/>
    </xf>
    <xf numFmtId="0" fontId="0" fillId="0" borderId="23" xfId="0" applyBorder="1" applyAlignment="1">
      <alignment horizontal="center"/>
    </xf>
    <xf numFmtId="0" fontId="50" fillId="0" borderId="23" xfId="0" applyFont="1" applyBorder="1" applyAlignment="1">
      <alignment horizontal="center" vertical="center"/>
    </xf>
    <xf numFmtId="0" fontId="1" fillId="0" borderId="14" xfId="0" applyFont="1" applyBorder="1" applyAlignment="1">
      <alignment horizontal="left"/>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18" fillId="0" borderId="23" xfId="0" applyFont="1" applyBorder="1" applyAlignment="1">
      <alignment horizontal="center" vertical="center" wrapText="1"/>
    </xf>
    <xf numFmtId="0" fontId="43" fillId="0" borderId="23" xfId="0" applyFont="1" applyBorder="1" applyAlignment="1">
      <alignment horizontal="left" vertical="center" wrapText="1"/>
    </xf>
    <xf numFmtId="17" fontId="1" fillId="0" borderId="23" xfId="0" applyNumberFormat="1" applyFont="1" applyBorder="1" applyAlignment="1">
      <alignment horizontal="justify" vertical="center" wrapText="1"/>
    </xf>
    <xf numFmtId="0" fontId="44" fillId="0" borderId="39" xfId="0" applyFont="1" applyBorder="1" applyAlignment="1">
      <alignment horizontal="center" vertical="center" wrapText="1"/>
    </xf>
    <xf numFmtId="0" fontId="44" fillId="0" borderId="38" xfId="0" applyFont="1" applyBorder="1" applyAlignment="1">
      <alignment horizontal="center" vertical="center" wrapText="1"/>
    </xf>
    <xf numFmtId="0" fontId="71" fillId="3" borderId="62" xfId="0" applyFont="1" applyFill="1" applyBorder="1" applyAlignment="1">
      <alignment horizontal="left" vertical="center" wrapText="1"/>
    </xf>
    <xf numFmtId="0" fontId="71" fillId="3" borderId="63" xfId="0" applyFont="1" applyFill="1" applyBorder="1" applyAlignment="1">
      <alignment horizontal="left" vertical="center" wrapText="1"/>
    </xf>
    <xf numFmtId="0" fontId="71" fillId="3" borderId="64" xfId="0" applyFont="1" applyFill="1" applyBorder="1" applyAlignment="1">
      <alignment horizontal="left" vertical="center" wrapText="1"/>
    </xf>
    <xf numFmtId="0" fontId="75" fillId="0" borderId="0" xfId="0" applyFont="1" applyAlignment="1">
      <alignment vertical="center"/>
    </xf>
    <xf numFmtId="0" fontId="75" fillId="0" borderId="77" xfId="0" applyFont="1" applyBorder="1" applyAlignment="1">
      <alignment horizontal="center" vertical="center"/>
    </xf>
    <xf numFmtId="0" fontId="75" fillId="0" borderId="78" xfId="0" applyFont="1" applyBorder="1" applyAlignment="1">
      <alignment horizontal="center" vertical="center" textRotation="90"/>
    </xf>
    <xf numFmtId="0" fontId="75" fillId="0" borderId="78" xfId="0" applyFont="1" applyBorder="1" applyAlignment="1" applyProtection="1">
      <alignment horizontal="center" vertical="center" wrapText="1"/>
      <protection locked="0"/>
    </xf>
    <xf numFmtId="0" fontId="75" fillId="9" borderId="78" xfId="0" applyFont="1" applyFill="1" applyBorder="1" applyAlignment="1" applyProtection="1">
      <alignment horizontal="center" vertical="center"/>
      <protection locked="0"/>
    </xf>
    <xf numFmtId="0" fontId="72" fillId="0" borderId="78" xfId="0" applyFont="1" applyBorder="1" applyAlignment="1" applyProtection="1">
      <alignment horizontal="center" vertical="center" wrapText="1"/>
      <protection hidden="1"/>
    </xf>
    <xf numFmtId="9" fontId="75" fillId="0" borderId="78" xfId="0" applyNumberFormat="1" applyFont="1" applyBorder="1" applyAlignment="1" applyProtection="1">
      <alignment horizontal="center" vertical="center" wrapText="1"/>
      <protection hidden="1"/>
    </xf>
    <xf numFmtId="9" fontId="75" fillId="0" borderId="78" xfId="0" applyNumberFormat="1" applyFont="1" applyBorder="1" applyAlignment="1" applyProtection="1">
      <alignment horizontal="center" vertical="center" wrapText="1"/>
      <protection locked="0"/>
    </xf>
    <xf numFmtId="0" fontId="72" fillId="0" borderId="78" xfId="0" applyFont="1" applyBorder="1" applyAlignment="1" applyProtection="1">
      <alignment horizontal="center" vertical="center"/>
      <protection hidden="1"/>
    </xf>
    <xf numFmtId="0" fontId="75" fillId="0" borderId="79" xfId="0" applyFont="1" applyBorder="1" applyAlignment="1">
      <alignment horizontal="center" vertical="center"/>
    </xf>
    <xf numFmtId="0" fontId="75" fillId="0" borderId="78" xfId="0" applyFont="1" applyBorder="1" applyAlignment="1" applyProtection="1">
      <alignment vertical="center" wrapText="1"/>
      <protection locked="0"/>
    </xf>
    <xf numFmtId="0" fontId="75" fillId="0" borderId="78" xfId="0" applyFont="1" applyBorder="1" applyAlignment="1" applyProtection="1">
      <alignment horizontal="center" vertical="center"/>
      <protection hidden="1"/>
    </xf>
    <xf numFmtId="0" fontId="75" fillId="0" borderId="78" xfId="0" applyFont="1" applyBorder="1" applyAlignment="1" applyProtection="1">
      <alignment horizontal="center" vertical="center" textRotation="90"/>
      <protection locked="0"/>
    </xf>
    <xf numFmtId="9" fontId="75" fillId="0" borderId="78" xfId="0" applyNumberFormat="1" applyFont="1" applyBorder="1" applyAlignment="1" applyProtection="1">
      <alignment horizontal="center" vertical="center"/>
      <protection hidden="1"/>
    </xf>
    <xf numFmtId="164" fontId="75" fillId="0" borderId="79" xfId="1" applyNumberFormat="1" applyFont="1" applyBorder="1" applyAlignment="1">
      <alignment horizontal="center" vertical="center"/>
    </xf>
    <xf numFmtId="0" fontId="72" fillId="0" borderId="78" xfId="0" applyFont="1" applyBorder="1" applyAlignment="1" applyProtection="1">
      <alignment horizontal="center" vertical="center" textRotation="90" wrapText="1"/>
      <protection hidden="1"/>
    </xf>
    <xf numFmtId="0" fontId="72" fillId="0" borderId="78" xfId="0" applyFont="1" applyBorder="1" applyAlignment="1" applyProtection="1">
      <alignment horizontal="center" vertical="center" textRotation="90"/>
      <protection hidden="1"/>
    </xf>
    <xf numFmtId="0" fontId="75" fillId="0" borderId="79" xfId="0" applyFont="1" applyBorder="1" applyAlignment="1" applyProtection="1">
      <alignment horizontal="center" vertical="center" wrapText="1"/>
      <protection locked="0"/>
    </xf>
    <xf numFmtId="14" fontId="75" fillId="0" borderId="79" xfId="0" applyNumberFormat="1" applyFont="1" applyBorder="1" applyAlignment="1" applyProtection="1">
      <alignment horizontal="center" vertical="center"/>
      <protection locked="0"/>
    </xf>
    <xf numFmtId="0" fontId="75" fillId="0" borderId="79" xfId="0" applyFont="1" applyBorder="1" applyAlignment="1" applyProtection="1">
      <alignment horizontal="center" vertical="top" wrapText="1"/>
      <protection locked="0"/>
    </xf>
    <xf numFmtId="0" fontId="75" fillId="0" borderId="80" xfId="0" applyFont="1" applyBorder="1" applyAlignment="1" applyProtection="1">
      <alignment horizontal="center" vertical="center"/>
      <protection locked="0"/>
    </xf>
    <xf numFmtId="0" fontId="75" fillId="3" borderId="0" xfId="0" applyFont="1" applyFill="1" applyAlignment="1">
      <alignment vertical="center"/>
    </xf>
    <xf numFmtId="0" fontId="75" fillId="0" borderId="3" xfId="0" applyFont="1" applyBorder="1" applyAlignment="1">
      <alignment horizontal="center" vertical="center" textRotation="90" wrapText="1"/>
    </xf>
    <xf numFmtId="0" fontId="75" fillId="3" borderId="3" xfId="0" applyFont="1" applyFill="1" applyBorder="1" applyAlignment="1" applyProtection="1">
      <alignment horizontal="center" vertical="center" wrapText="1"/>
      <protection locked="0"/>
    </xf>
    <xf numFmtId="0" fontId="75" fillId="0" borderId="5" xfId="0" applyFont="1" applyBorder="1" applyAlignment="1">
      <alignment horizontal="center" vertical="center" textRotation="90" wrapText="1"/>
    </xf>
    <xf numFmtId="0" fontId="75" fillId="3" borderId="5" xfId="0" applyFont="1" applyFill="1" applyBorder="1" applyAlignment="1" applyProtection="1">
      <alignment horizontal="center" vertical="center" wrapText="1"/>
      <protection locked="0"/>
    </xf>
    <xf numFmtId="0" fontId="75" fillId="0" borderId="4" xfId="0" applyFont="1" applyBorder="1" applyAlignment="1">
      <alignment horizontal="center" vertical="center" textRotation="90" wrapText="1"/>
    </xf>
    <xf numFmtId="0" fontId="75" fillId="3" borderId="4" xfId="0" applyFont="1" applyFill="1" applyBorder="1" applyAlignment="1" applyProtection="1">
      <alignment horizontal="center" vertical="center" wrapText="1"/>
      <protection locked="0"/>
    </xf>
    <xf numFmtId="0" fontId="75" fillId="3" borderId="2"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54">
    <dxf>
      <fill>
        <patternFill>
          <bgColor rgb="FFFFFF00"/>
        </patternFill>
      </fill>
    </dxf>
    <dxf>
      <fill>
        <patternFill>
          <bgColor rgb="FF92D05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b val="0"/>
        <i val="0"/>
        <strike val="0"/>
        <condense val="0"/>
        <extend val="0"/>
        <outline val="0"/>
        <shadow val="0"/>
        <u val="none"/>
        <vertAlign val="baseline"/>
        <sz val="16"/>
        <color rgb="FFFF0000"/>
        <name val="Arial"/>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family val="2"/>
        <scheme val="none"/>
      </font>
      <fill>
        <patternFill patternType="none">
          <fgColor indexed="64"/>
          <bgColor indexed="65"/>
        </patternFill>
      </fill>
      <alignment horizontal="general" vertical="center" textRotation="0" wrapText="0" indent="0" justifyLastLine="0" shrinkToFit="0" readingOrder="0"/>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431004</xdr:colOff>
      <xdr:row>1</xdr:row>
      <xdr:rowOff>30734</xdr:rowOff>
    </xdr:from>
    <xdr:to>
      <xdr:col>2</xdr:col>
      <xdr:colOff>653142</xdr:colOff>
      <xdr:row>4</xdr:row>
      <xdr:rowOff>298810</xdr:rowOff>
    </xdr:to>
    <xdr:pic>
      <xdr:nvPicPr>
        <xdr:cNvPr id="2" name="Imagen 1">
          <a:extLst>
            <a:ext uri="{FF2B5EF4-FFF2-40B4-BE49-F238E27FC236}">
              <a16:creationId xmlns:a16="http://schemas.microsoft.com/office/drawing/2014/main" id="{CCEF30E9-9CA1-428E-9868-B589905A4FE6}"/>
            </a:ext>
          </a:extLst>
        </xdr:cNvPr>
        <xdr:cNvPicPr>
          <a:picLocks noChangeAspect="1"/>
        </xdr:cNvPicPr>
      </xdr:nvPicPr>
      <xdr:blipFill>
        <a:blip xmlns:r="http://schemas.openxmlformats.org/officeDocument/2006/relationships" r:embed="rId1"/>
        <a:stretch>
          <a:fillRect/>
        </a:stretch>
      </xdr:blipFill>
      <xdr:spPr>
        <a:xfrm>
          <a:off x="1193004" y="207627"/>
          <a:ext cx="780031" cy="1465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408214</xdr:colOff>
      <xdr:row>78</xdr:row>
      <xdr:rowOff>136072</xdr:rowOff>
    </xdr:from>
    <xdr:to>
      <xdr:col>2</xdr:col>
      <xdr:colOff>3351709</xdr:colOff>
      <xdr:row>79</xdr:row>
      <xdr:rowOff>63047</xdr:rowOff>
    </xdr:to>
    <xdr:grpSp>
      <xdr:nvGrpSpPr>
        <xdr:cNvPr id="3" name="Agrupar 1">
          <a:extLst>
            <a:ext uri="{FF2B5EF4-FFF2-40B4-BE49-F238E27FC236}">
              <a16:creationId xmlns:a16="http://schemas.microsoft.com/office/drawing/2014/main" id="{010526ED-8781-4FAD-A771-426B278B34ED}"/>
            </a:ext>
          </a:extLst>
        </xdr:cNvPr>
        <xdr:cNvGrpSpPr/>
      </xdr:nvGrpSpPr>
      <xdr:grpSpPr>
        <a:xfrm>
          <a:off x="408214" y="31044697"/>
          <a:ext cx="8477520" cy="117475"/>
          <a:chOff x="0" y="0"/>
          <a:chExt cx="7883152" cy="117639"/>
        </a:xfrm>
      </xdr:grpSpPr>
      <xdr:sp macro="" textlink="">
        <xdr:nvSpPr>
          <xdr:cNvPr id="4" name="Rectángulo 3">
            <a:extLst>
              <a:ext uri="{FF2B5EF4-FFF2-40B4-BE49-F238E27FC236}">
                <a16:creationId xmlns:a16="http://schemas.microsoft.com/office/drawing/2014/main" id="{6ACFD8C4-87A4-4E0D-9223-BFB1BDF21B8D}"/>
              </a:ext>
            </a:extLst>
          </xdr:cNvPr>
          <xdr:cNvSpPr/>
        </xdr:nvSpPr>
        <xdr:spPr>
          <a:xfrm>
            <a:off x="0" y="0"/>
            <a:ext cx="2633976" cy="117639"/>
          </a:xfrm>
          <a:prstGeom prst="rect">
            <a:avLst/>
          </a:prstGeom>
          <a:solidFill>
            <a:srgbClr val="FFB62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5" name="Rectángulo 4">
            <a:extLst>
              <a:ext uri="{FF2B5EF4-FFF2-40B4-BE49-F238E27FC236}">
                <a16:creationId xmlns:a16="http://schemas.microsoft.com/office/drawing/2014/main" id="{0EB06A3B-5048-40BD-8615-B71E0611F004}"/>
              </a:ext>
            </a:extLst>
          </xdr:cNvPr>
          <xdr:cNvSpPr/>
        </xdr:nvSpPr>
        <xdr:spPr>
          <a:xfrm>
            <a:off x="2621707" y="0"/>
            <a:ext cx="2633345" cy="117475"/>
          </a:xfrm>
          <a:prstGeom prst="rect">
            <a:avLst/>
          </a:prstGeom>
          <a:solidFill>
            <a:srgbClr val="004B9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6" name="Rectángulo 5">
            <a:extLst>
              <a:ext uri="{FF2B5EF4-FFF2-40B4-BE49-F238E27FC236}">
                <a16:creationId xmlns:a16="http://schemas.microsoft.com/office/drawing/2014/main" id="{68C2F5D0-7122-452F-9B66-71B91A78D565}"/>
              </a:ext>
            </a:extLst>
          </xdr:cNvPr>
          <xdr:cNvSpPr/>
        </xdr:nvSpPr>
        <xdr:spPr>
          <a:xfrm>
            <a:off x="5249807" y="0"/>
            <a:ext cx="2633345" cy="117475"/>
          </a:xfrm>
          <a:prstGeom prst="rect">
            <a:avLst/>
          </a:prstGeom>
          <a:solidFill>
            <a:srgbClr val="FA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grpSp>
    <xdr:clientData/>
  </xdr:twoCellAnchor>
  <xdr:twoCellAnchor>
    <xdr:from>
      <xdr:col>1</xdr:col>
      <xdr:colOff>1319892</xdr:colOff>
      <xdr:row>7</xdr:row>
      <xdr:rowOff>326572</xdr:rowOff>
    </xdr:from>
    <xdr:to>
      <xdr:col>1</xdr:col>
      <xdr:colOff>2349229</xdr:colOff>
      <xdr:row>7</xdr:row>
      <xdr:rowOff>371657</xdr:rowOff>
    </xdr:to>
    <xdr:grpSp>
      <xdr:nvGrpSpPr>
        <xdr:cNvPr id="7" name="Agrupar 207">
          <a:extLst>
            <a:ext uri="{FF2B5EF4-FFF2-40B4-BE49-F238E27FC236}">
              <a16:creationId xmlns:a16="http://schemas.microsoft.com/office/drawing/2014/main" id="{17C57FD8-538A-4958-B8E2-0CFEDA348C8B}"/>
            </a:ext>
          </a:extLst>
        </xdr:cNvPr>
        <xdr:cNvGrpSpPr/>
      </xdr:nvGrpSpPr>
      <xdr:grpSpPr>
        <a:xfrm>
          <a:off x="2205717" y="2964997"/>
          <a:ext cx="1029337" cy="45085"/>
          <a:chOff x="0" y="0"/>
          <a:chExt cx="7975600" cy="116840"/>
        </a:xfrm>
      </xdr:grpSpPr>
      <xdr:sp macro="" textlink="">
        <xdr:nvSpPr>
          <xdr:cNvPr id="8" name="Rectángulo 7">
            <a:extLst>
              <a:ext uri="{FF2B5EF4-FFF2-40B4-BE49-F238E27FC236}">
                <a16:creationId xmlns:a16="http://schemas.microsoft.com/office/drawing/2014/main" id="{B63DABEF-A1AE-4ACB-8488-DB5973DC158F}"/>
              </a:ext>
            </a:extLst>
          </xdr:cNvPr>
          <xdr:cNvSpPr/>
        </xdr:nvSpPr>
        <xdr:spPr>
          <a:xfrm>
            <a:off x="0" y="0"/>
            <a:ext cx="2717800" cy="116840"/>
          </a:xfrm>
          <a:prstGeom prst="rect">
            <a:avLst/>
          </a:prstGeom>
          <a:solidFill>
            <a:srgbClr val="FFB62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9" name="Rectángulo 8">
            <a:extLst>
              <a:ext uri="{FF2B5EF4-FFF2-40B4-BE49-F238E27FC236}">
                <a16:creationId xmlns:a16="http://schemas.microsoft.com/office/drawing/2014/main" id="{63EF27A5-1F90-4EDF-AABB-0D160AB8AAED}"/>
              </a:ext>
            </a:extLst>
          </xdr:cNvPr>
          <xdr:cNvSpPr/>
        </xdr:nvSpPr>
        <xdr:spPr>
          <a:xfrm>
            <a:off x="2628900" y="0"/>
            <a:ext cx="2717800" cy="116840"/>
          </a:xfrm>
          <a:prstGeom prst="rect">
            <a:avLst/>
          </a:prstGeom>
          <a:solidFill>
            <a:srgbClr val="004B9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sp macro="" textlink="">
        <xdr:nvSpPr>
          <xdr:cNvPr id="10" name="Rectángulo 9">
            <a:extLst>
              <a:ext uri="{FF2B5EF4-FFF2-40B4-BE49-F238E27FC236}">
                <a16:creationId xmlns:a16="http://schemas.microsoft.com/office/drawing/2014/main" id="{6DA8E81A-E093-4E21-B55D-F4EBBDA8A51E}"/>
              </a:ext>
            </a:extLst>
          </xdr:cNvPr>
          <xdr:cNvSpPr/>
        </xdr:nvSpPr>
        <xdr:spPr>
          <a:xfrm>
            <a:off x="5257800" y="0"/>
            <a:ext cx="2717800" cy="116840"/>
          </a:xfrm>
          <a:prstGeom prst="rect">
            <a:avLst/>
          </a:prstGeom>
          <a:solidFill>
            <a:srgbClr val="FA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01\Downloads\Mapa-Riesgos-Fiscales-2023-Jurid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ux01\Downloads\Mapa-Riesgos-Fiscales-2023-ALMACEN-E-INVENT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
      <sheetName val="Mapa de Riesgos"/>
      <sheetName val="Matriz Calor Inherente"/>
      <sheetName val="Matriz Calor Residual"/>
      <sheetName val="Tabla probabilidad"/>
      <sheetName val="Tabla Impacto"/>
      <sheetName val="Tabla Valoración controles"/>
      <sheetName val="Anexo 1"/>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5">
          <cell r="C15" t="str">
            <v xml:space="preserve">     Afectación menor a 10 SMLMV .</v>
          </cell>
          <cell r="E15" t="str">
            <v xml:space="preserve">     El riesgo afecta la imagen de alguna área de la organización</v>
          </cell>
        </row>
        <row r="16">
          <cell r="C16" t="str">
            <v xml:space="preserve">     Entre 10 y 50 SMLMV </v>
          </cell>
          <cell r="E16" t="str">
            <v xml:space="preserve">     El riesgo afecta la imagen de la entidad internamente, de conocimiento general, nivel interno, de junta dircetiva y accionistas y/o de provedores</v>
          </cell>
        </row>
        <row r="17">
          <cell r="C17" t="str">
            <v xml:space="preserve">     Entre 50 y 100 SMLMV </v>
          </cell>
          <cell r="E17" t="str">
            <v xml:space="preserve">     El riesgo afecta la imagen de la entidad con algunos usuarios de relevancia frente al logro de los objetivos</v>
          </cell>
        </row>
        <row r="18">
          <cell r="C18" t="str">
            <v xml:space="preserve">     Entre 100 y 500 SMLMV </v>
          </cell>
          <cell r="E18" t="str">
            <v xml:space="preserve">     El riesgo afecta la imagen de de la entidad con efecto publicitario sostenido a nivel de sector administrativo, nivel departamental o municipal</v>
          </cell>
        </row>
        <row r="19">
          <cell r="C19" t="str">
            <v xml:space="preserve">     Mayor a 500 SMLMV </v>
          </cell>
          <cell r="E19" t="str">
            <v xml:space="preserve">     El riesgo afecta la imagen de la entidad a nivel nacional, con efecto publicitarios sostenible a nivel país</v>
          </cell>
        </row>
        <row r="225">
          <cell r="B225" t="str">
            <v>Criterios</v>
          </cell>
        </row>
        <row r="226">
          <cell r="B226" t="str">
            <v>Afectación Económica o presupuestal</v>
          </cell>
        </row>
        <row r="227">
          <cell r="B227" t="str">
            <v>Pérdida Reputacional</v>
          </cell>
          <cell r="G227" t="str">
            <v>❌</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
      <sheetName val="Mapa de Riesgos"/>
      <sheetName val="Matriz Calor Inherente"/>
      <sheetName val="Matriz Calor Residual"/>
      <sheetName val="Tabla probabilidad"/>
      <sheetName val="Tabla Impacto"/>
      <sheetName val="Tabla Valoración controles"/>
      <sheetName val="Anexo 1"/>
      <sheetName val="Opciones Tratamiento"/>
      <sheetName val="Hoja1"/>
    </sheetNames>
    <sheetDataSet>
      <sheetData sheetId="0"/>
      <sheetData sheetId="1"/>
      <sheetData sheetId="2"/>
      <sheetData sheetId="3"/>
      <sheetData sheetId="4"/>
      <sheetData sheetId="5">
        <row r="15">
          <cell r="C15" t="str">
            <v xml:space="preserve">     Afectación menor a 10 SMLMV .</v>
          </cell>
          <cell r="E15" t="str">
            <v xml:space="preserve">     El riesgo afecta la imagen de alguna área de la organización</v>
          </cell>
        </row>
        <row r="16">
          <cell r="C16" t="str">
            <v xml:space="preserve">     Entre 10 y 50 SMLMV </v>
          </cell>
          <cell r="E16" t="str">
            <v xml:space="preserve">     El riesgo afecta la imagen de la entidad internamente, de conocimiento general, nivel interno, de junta dircetiva y accionistas y/o de provedores</v>
          </cell>
        </row>
        <row r="17">
          <cell r="C17" t="str">
            <v xml:space="preserve">     Entre 50 y 100 SMLMV </v>
          </cell>
          <cell r="E17" t="str">
            <v xml:space="preserve">     El riesgo afecta la imagen de la entidad con algunos usuarios de relevancia frente al logro de los objetivos</v>
          </cell>
        </row>
        <row r="18">
          <cell r="C18" t="str">
            <v xml:space="preserve">     Entre 100 y 500 SMLMV </v>
          </cell>
          <cell r="E18" t="str">
            <v xml:space="preserve">     El riesgo afecta la imagen de de la entidad con efecto publicitario sostenido a nivel de sector administrativo, nivel departamental o municipal</v>
          </cell>
        </row>
        <row r="19">
          <cell r="C19" t="str">
            <v xml:space="preserve">     Mayor a 500 SMLMV </v>
          </cell>
          <cell r="E19" t="str">
            <v xml:space="preserve">     El riesgo afecta la imagen de la entidad a nivel nacional, con efecto publicitarios sostenible a nivel país</v>
          </cell>
        </row>
        <row r="225">
          <cell r="B225" t="str">
            <v>Criterios</v>
          </cell>
        </row>
        <row r="226">
          <cell r="B226" t="str">
            <v>Afectación Económica o presupuestal</v>
          </cell>
        </row>
        <row r="227">
          <cell r="B227" t="str">
            <v>Pérdida Reputacional</v>
          </cell>
          <cell r="G227" t="str">
            <v>❌</v>
          </cell>
        </row>
      </sheetData>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E213:F225"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153">
      <pivotArea type="all" dataOnly="0" outline="0" fieldPosition="0"/>
    </format>
    <format dxfId="152">
      <pivotArea field="0" type="button" dataOnly="0" labelOnly="1" outline="0" axis="axisRow" fieldPosition="0"/>
    </format>
    <format dxfId="151">
      <pivotArea field="1" type="button" dataOnly="0" labelOnly="1" outline="0" axis="axisRow" fieldPosition="1"/>
    </format>
    <format dxfId="150">
      <pivotArea dataOnly="0" labelOnly="1" outline="0" fieldPosition="0">
        <references count="1">
          <reference field="0" count="0"/>
        </references>
      </pivotArea>
    </format>
    <format dxfId="149">
      <pivotArea dataOnly="0" labelOnly="1" outline="0" fieldPosition="0">
        <references count="2">
          <reference field="0" count="1" selected="0">
            <x v="0"/>
          </reference>
          <reference field="1" count="5">
            <x v="0"/>
            <x v="6"/>
            <x v="7"/>
            <x v="8"/>
            <x v="9"/>
          </reference>
        </references>
      </pivotArea>
    </format>
    <format dxfId="148">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3:C223" totalsRowShown="0" headerRowDxfId="147" dataDxfId="146">
  <autoFilter ref="B213:C223" xr:uid="{00000000-0009-0000-0100-000001000000}"/>
  <tableColumns count="2">
    <tableColumn id="1" xr3:uid="{00000000-0010-0000-0000-000001000000}" name="Criterios" dataDxfId="145"/>
    <tableColumn id="2" xr3:uid="{00000000-0010-0000-0000-000002000000}" name="Subcriterios" dataDxfId="14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B1:H50"/>
  <sheetViews>
    <sheetView zoomScaleNormal="100" workbookViewId="0">
      <selection activeCell="B11" sqref="B11:H11"/>
    </sheetView>
  </sheetViews>
  <sheetFormatPr baseColWidth="10" defaultColWidth="11.42578125" defaultRowHeight="15" x14ac:dyDescent="0.25"/>
  <cols>
    <col min="1" max="1" width="2.7109375" style="41" customWidth="1" collapsed="1"/>
    <col min="2" max="3" width="24.7109375" style="41" customWidth="1" collapsed="1"/>
    <col min="4" max="4" width="16" style="41" customWidth="1" collapsed="1"/>
    <col min="5" max="5" width="24.7109375" style="41" customWidth="1" collapsed="1"/>
    <col min="6" max="6" width="27.7109375" style="41" customWidth="1" collapsed="1"/>
    <col min="7" max="7" width="24.7109375" style="41" customWidth="1" collapsed="1"/>
    <col min="8" max="8" width="40.28515625" style="41" customWidth="1" collapsed="1"/>
    <col min="9" max="16384" width="11.42578125" style="41" collapsed="1"/>
  </cols>
  <sheetData>
    <row r="1" spans="2:8" x14ac:dyDescent="0.25">
      <c r="B1" s="262"/>
      <c r="C1" s="263" t="s">
        <v>0</v>
      </c>
      <c r="D1" s="264"/>
      <c r="E1" s="264"/>
      <c r="F1" s="264"/>
      <c r="G1" s="264"/>
      <c r="H1" s="63"/>
    </row>
    <row r="2" spans="2:8" x14ac:dyDescent="0.25">
      <c r="B2" s="262"/>
      <c r="C2" s="264"/>
      <c r="D2" s="264"/>
      <c r="E2" s="264"/>
      <c r="F2" s="264"/>
      <c r="G2" s="264"/>
      <c r="H2" s="63"/>
    </row>
    <row r="3" spans="2:8" x14ac:dyDescent="0.25">
      <c r="B3" s="262"/>
      <c r="C3" s="264"/>
      <c r="D3" s="264"/>
      <c r="E3" s="264"/>
      <c r="F3" s="264"/>
      <c r="G3" s="264"/>
      <c r="H3" s="63"/>
    </row>
    <row r="4" spans="2:8" x14ac:dyDescent="0.25">
      <c r="B4" s="262"/>
      <c r="C4" s="264"/>
      <c r="D4" s="264"/>
      <c r="E4" s="264"/>
      <c r="F4" s="264"/>
      <c r="G4" s="264"/>
      <c r="H4" s="63"/>
    </row>
    <row r="5" spans="2:8" x14ac:dyDescent="0.25">
      <c r="B5" s="256"/>
      <c r="C5" s="257"/>
      <c r="D5" s="257"/>
      <c r="E5" s="257"/>
      <c r="F5" s="257"/>
      <c r="G5" s="257"/>
      <c r="H5" s="258"/>
    </row>
    <row r="6" spans="2:8" ht="18" x14ac:dyDescent="0.25">
      <c r="B6" s="265" t="s">
        <v>1</v>
      </c>
      <c r="C6" s="265"/>
      <c r="D6" s="265"/>
      <c r="E6" s="265"/>
      <c r="F6" s="265"/>
      <c r="G6" s="265"/>
      <c r="H6" s="265"/>
    </row>
    <row r="7" spans="2:8" x14ac:dyDescent="0.25">
      <c r="B7" s="259"/>
      <c r="C7" s="260"/>
      <c r="D7" s="260"/>
      <c r="E7" s="260"/>
      <c r="F7" s="260"/>
      <c r="G7" s="260"/>
      <c r="H7" s="261"/>
    </row>
    <row r="8" spans="2:8" ht="63" customHeight="1" x14ac:dyDescent="0.25">
      <c r="B8" s="266" t="s">
        <v>2</v>
      </c>
      <c r="C8" s="266"/>
      <c r="D8" s="266"/>
      <c r="E8" s="266"/>
      <c r="F8" s="266"/>
      <c r="G8" s="266"/>
      <c r="H8" s="266"/>
    </row>
    <row r="9" spans="2:8" ht="63" customHeight="1" x14ac:dyDescent="0.25">
      <c r="B9" s="266"/>
      <c r="C9" s="266"/>
      <c r="D9" s="266"/>
      <c r="E9" s="266"/>
      <c r="F9" s="266"/>
      <c r="G9" s="266"/>
      <c r="H9" s="266"/>
    </row>
    <row r="10" spans="2:8" ht="16.5" x14ac:dyDescent="0.25">
      <c r="B10" s="267" t="s">
        <v>3</v>
      </c>
      <c r="C10" s="268"/>
      <c r="D10" s="268"/>
      <c r="E10" s="268"/>
      <c r="F10" s="268"/>
      <c r="G10" s="268"/>
      <c r="H10" s="268"/>
    </row>
    <row r="11" spans="2:8" ht="95.25" customHeight="1" x14ac:dyDescent="0.25">
      <c r="B11" s="269" t="s">
        <v>4</v>
      </c>
      <c r="C11" s="269"/>
      <c r="D11" s="269"/>
      <c r="E11" s="269"/>
      <c r="F11" s="269"/>
      <c r="G11" s="269"/>
      <c r="H11" s="269"/>
    </row>
    <row r="12" spans="2:8" ht="16.5" x14ac:dyDescent="0.25">
      <c r="B12" s="66"/>
      <c r="C12" s="67"/>
      <c r="D12" s="67"/>
      <c r="E12" s="67"/>
      <c r="F12" s="67"/>
      <c r="G12" s="67"/>
      <c r="H12" s="67"/>
    </row>
    <row r="13" spans="2:8" ht="16.5" customHeight="1" x14ac:dyDescent="0.25">
      <c r="B13" s="270" t="s">
        <v>5</v>
      </c>
      <c r="C13" s="270"/>
      <c r="D13" s="270"/>
      <c r="E13" s="270"/>
      <c r="F13" s="270"/>
      <c r="G13" s="270"/>
      <c r="H13" s="270"/>
    </row>
    <row r="14" spans="2:8" ht="16.5" customHeight="1" x14ac:dyDescent="0.25">
      <c r="B14" s="270"/>
      <c r="C14" s="270"/>
      <c r="D14" s="270"/>
      <c r="E14" s="270"/>
      <c r="F14" s="270"/>
      <c r="G14" s="270"/>
      <c r="H14" s="270"/>
    </row>
    <row r="15" spans="2:8" ht="11.65" customHeight="1" x14ac:dyDescent="0.25">
      <c r="B15" s="68"/>
      <c r="C15" s="69"/>
      <c r="D15" s="69"/>
      <c r="E15" s="69"/>
      <c r="F15" s="69"/>
      <c r="G15" s="68"/>
      <c r="H15" s="68"/>
    </row>
    <row r="16" spans="2:8" ht="27.4" customHeight="1" x14ac:dyDescent="0.25">
      <c r="B16" s="273" t="s">
        <v>6</v>
      </c>
      <c r="C16" s="273"/>
      <c r="D16" s="273"/>
      <c r="E16" s="273"/>
      <c r="F16" s="273"/>
      <c r="G16" s="273"/>
      <c r="H16" s="273"/>
    </row>
    <row r="17" spans="2:8" x14ac:dyDescent="0.25">
      <c r="B17" s="69"/>
      <c r="C17" s="274" t="s">
        <v>7</v>
      </c>
      <c r="D17" s="274"/>
      <c r="E17" s="275" t="s">
        <v>8</v>
      </c>
      <c r="F17" s="275"/>
      <c r="G17" s="69"/>
      <c r="H17" s="69"/>
    </row>
    <row r="18" spans="2:8" ht="13.5" customHeight="1" x14ac:dyDescent="0.25">
      <c r="B18" s="65"/>
      <c r="C18" s="271" t="s">
        <v>9</v>
      </c>
      <c r="D18" s="271"/>
      <c r="E18" s="272" t="s">
        <v>10</v>
      </c>
      <c r="F18" s="272"/>
      <c r="G18" s="65"/>
      <c r="H18" s="65"/>
    </row>
    <row r="19" spans="2:8" ht="13.5" customHeight="1" x14ac:dyDescent="0.25">
      <c r="B19" s="65"/>
      <c r="C19" s="271" t="s">
        <v>11</v>
      </c>
      <c r="D19" s="271"/>
      <c r="E19" s="272" t="s">
        <v>12</v>
      </c>
      <c r="F19" s="272"/>
      <c r="G19" s="65"/>
      <c r="H19" s="65"/>
    </row>
    <row r="20" spans="2:8" ht="13.5" customHeight="1" x14ac:dyDescent="0.25">
      <c r="B20" s="65"/>
      <c r="C20" s="271" t="s">
        <v>13</v>
      </c>
      <c r="D20" s="271"/>
      <c r="E20" s="272" t="s">
        <v>14</v>
      </c>
      <c r="F20" s="272"/>
      <c r="G20" s="65"/>
      <c r="H20" s="65"/>
    </row>
    <row r="21" spans="2:8" ht="27" customHeight="1" x14ac:dyDescent="0.25">
      <c r="B21" s="65"/>
      <c r="C21" s="271" t="s">
        <v>15</v>
      </c>
      <c r="D21" s="271"/>
      <c r="E21" s="272" t="s">
        <v>16</v>
      </c>
      <c r="F21" s="272"/>
      <c r="G21" s="65"/>
      <c r="H21" s="65"/>
    </row>
    <row r="22" spans="2:8" ht="30" customHeight="1" x14ac:dyDescent="0.25">
      <c r="B22" s="65"/>
      <c r="C22" s="276" t="s">
        <v>17</v>
      </c>
      <c r="D22" s="276"/>
      <c r="E22" s="272" t="s">
        <v>18</v>
      </c>
      <c r="F22" s="272"/>
      <c r="G22" s="65"/>
      <c r="H22" s="65"/>
    </row>
    <row r="23" spans="2:8" ht="44.25" customHeight="1" x14ac:dyDescent="0.25">
      <c r="B23" s="65"/>
      <c r="C23" s="276" t="s">
        <v>19</v>
      </c>
      <c r="D23" s="276"/>
      <c r="E23" s="272" t="s">
        <v>20</v>
      </c>
      <c r="F23" s="272"/>
      <c r="G23" s="65"/>
      <c r="H23" s="65"/>
    </row>
    <row r="24" spans="2:8" ht="69" customHeight="1" x14ac:dyDescent="0.25">
      <c r="B24" s="65"/>
      <c r="C24" s="276" t="s">
        <v>21</v>
      </c>
      <c r="D24" s="276"/>
      <c r="E24" s="272" t="s">
        <v>22</v>
      </c>
      <c r="F24" s="272"/>
      <c r="G24" s="65"/>
      <c r="H24" s="65"/>
    </row>
    <row r="25" spans="2:8" ht="69.75" customHeight="1" x14ac:dyDescent="0.25">
      <c r="B25" s="65"/>
      <c r="C25" s="276" t="s">
        <v>23</v>
      </c>
      <c r="D25" s="276"/>
      <c r="E25" s="272" t="s">
        <v>24</v>
      </c>
      <c r="F25" s="272"/>
      <c r="G25" s="65"/>
      <c r="H25" s="65"/>
    </row>
    <row r="26" spans="2:8" ht="63.75" customHeight="1" x14ac:dyDescent="0.25">
      <c r="B26" s="65"/>
      <c r="C26" s="276" t="s">
        <v>25</v>
      </c>
      <c r="D26" s="276"/>
      <c r="E26" s="272" t="s">
        <v>26</v>
      </c>
      <c r="F26" s="272"/>
      <c r="G26" s="65"/>
      <c r="H26" s="65"/>
    </row>
    <row r="27" spans="2:8" ht="64.5" customHeight="1" x14ac:dyDescent="0.25">
      <c r="B27" s="65"/>
      <c r="C27" s="276" t="s">
        <v>27</v>
      </c>
      <c r="D27" s="276"/>
      <c r="E27" s="272" t="s">
        <v>28</v>
      </c>
      <c r="F27" s="272"/>
      <c r="G27" s="65"/>
      <c r="H27" s="65"/>
    </row>
    <row r="28" spans="2:8" ht="41.25" customHeight="1" x14ac:dyDescent="0.25">
      <c r="B28" s="65"/>
      <c r="C28" s="276" t="s">
        <v>29</v>
      </c>
      <c r="D28" s="276"/>
      <c r="E28" s="272" t="s">
        <v>30</v>
      </c>
      <c r="F28" s="272"/>
      <c r="G28" s="65"/>
      <c r="H28" s="65"/>
    </row>
    <row r="29" spans="2:8" ht="40.5" customHeight="1" x14ac:dyDescent="0.25">
      <c r="B29" s="65"/>
      <c r="C29" s="276" t="s">
        <v>31</v>
      </c>
      <c r="D29" s="276"/>
      <c r="E29" s="272" t="s">
        <v>32</v>
      </c>
      <c r="F29" s="272"/>
      <c r="G29" s="65"/>
      <c r="H29" s="65"/>
    </row>
    <row r="30" spans="2:8" ht="42" customHeight="1" x14ac:dyDescent="0.25">
      <c r="B30" s="65"/>
      <c r="C30" s="276" t="s">
        <v>33</v>
      </c>
      <c r="D30" s="276"/>
      <c r="E30" s="272" t="s">
        <v>34</v>
      </c>
      <c r="F30" s="272"/>
      <c r="G30" s="65"/>
      <c r="H30" s="65"/>
    </row>
    <row r="31" spans="2:8" ht="24.75" customHeight="1" x14ac:dyDescent="0.25">
      <c r="B31" s="65"/>
      <c r="C31" s="276" t="s">
        <v>35</v>
      </c>
      <c r="D31" s="276"/>
      <c r="E31" s="272" t="s">
        <v>36</v>
      </c>
      <c r="F31" s="272"/>
      <c r="G31" s="65"/>
      <c r="H31" s="65"/>
    </row>
    <row r="32" spans="2:8" ht="23.25" customHeight="1" x14ac:dyDescent="0.25">
      <c r="B32" s="65"/>
      <c r="C32" s="276" t="s">
        <v>37</v>
      </c>
      <c r="D32" s="276"/>
      <c r="E32" s="272" t="s">
        <v>38</v>
      </c>
      <c r="F32" s="272"/>
      <c r="G32" s="65"/>
      <c r="H32" s="65"/>
    </row>
    <row r="33" spans="2:8" ht="30.75" customHeight="1" x14ac:dyDescent="0.25">
      <c r="B33" s="65"/>
      <c r="C33" s="276" t="s">
        <v>39</v>
      </c>
      <c r="D33" s="276"/>
      <c r="E33" s="272" t="s">
        <v>40</v>
      </c>
      <c r="F33" s="272"/>
      <c r="G33" s="65"/>
      <c r="H33" s="65"/>
    </row>
    <row r="34" spans="2:8" ht="35.25" customHeight="1" x14ac:dyDescent="0.25">
      <c r="B34" s="65"/>
      <c r="C34" s="276" t="s">
        <v>39</v>
      </c>
      <c r="D34" s="276"/>
      <c r="E34" s="272" t="s">
        <v>40</v>
      </c>
      <c r="F34" s="272"/>
      <c r="G34" s="65"/>
      <c r="H34" s="65"/>
    </row>
    <row r="35" spans="2:8" ht="33" customHeight="1" x14ac:dyDescent="0.25">
      <c r="B35" s="65"/>
      <c r="C35" s="276" t="s">
        <v>41</v>
      </c>
      <c r="D35" s="276"/>
      <c r="E35" s="272" t="s">
        <v>42</v>
      </c>
      <c r="F35" s="272"/>
      <c r="G35" s="65"/>
      <c r="H35" s="65"/>
    </row>
    <row r="36" spans="2:8" ht="30" customHeight="1" x14ac:dyDescent="0.25">
      <c r="B36" s="65"/>
      <c r="C36" s="276" t="s">
        <v>43</v>
      </c>
      <c r="D36" s="276"/>
      <c r="E36" s="272" t="s">
        <v>44</v>
      </c>
      <c r="F36" s="272"/>
      <c r="G36" s="65"/>
      <c r="H36" s="65"/>
    </row>
    <row r="37" spans="2:8" ht="35.25" customHeight="1" x14ac:dyDescent="0.25">
      <c r="B37" s="65"/>
      <c r="C37" s="276" t="s">
        <v>45</v>
      </c>
      <c r="D37" s="276"/>
      <c r="E37" s="272" t="s">
        <v>46</v>
      </c>
      <c r="F37" s="272"/>
      <c r="G37" s="65"/>
      <c r="H37" s="65"/>
    </row>
    <row r="38" spans="2:8" ht="31.5" customHeight="1" x14ac:dyDescent="0.25">
      <c r="B38" s="65"/>
      <c r="C38" s="276" t="s">
        <v>47</v>
      </c>
      <c r="D38" s="276"/>
      <c r="E38" s="272" t="s">
        <v>48</v>
      </c>
      <c r="F38" s="272"/>
      <c r="G38" s="65"/>
      <c r="H38" s="65"/>
    </row>
    <row r="39" spans="2:8" ht="54" customHeight="1" x14ac:dyDescent="0.25">
      <c r="B39" s="65"/>
      <c r="C39" s="276" t="s">
        <v>49</v>
      </c>
      <c r="D39" s="276"/>
      <c r="E39" s="272" t="s">
        <v>50</v>
      </c>
      <c r="F39" s="272"/>
      <c r="G39" s="65"/>
      <c r="H39" s="65"/>
    </row>
    <row r="40" spans="2:8" ht="30.75" customHeight="1" x14ac:dyDescent="0.25">
      <c r="B40" s="65"/>
      <c r="C40" s="276" t="s">
        <v>51</v>
      </c>
      <c r="D40" s="276"/>
      <c r="E40" s="272" t="s">
        <v>52</v>
      </c>
      <c r="F40" s="272"/>
      <c r="G40" s="65"/>
      <c r="H40" s="65"/>
    </row>
    <row r="41" spans="2:8" ht="74.25" customHeight="1" x14ac:dyDescent="0.25">
      <c r="B41" s="65"/>
      <c r="C41" s="276" t="s">
        <v>53</v>
      </c>
      <c r="D41" s="276"/>
      <c r="E41" s="272" t="s">
        <v>54</v>
      </c>
      <c r="F41" s="272"/>
      <c r="G41" s="65"/>
      <c r="H41" s="65"/>
    </row>
    <row r="42" spans="2:8" ht="82.5" customHeight="1" x14ac:dyDescent="0.25">
      <c r="B42" s="65"/>
      <c r="C42" s="276" t="s">
        <v>55</v>
      </c>
      <c r="D42" s="276"/>
      <c r="E42" s="272" t="s">
        <v>56</v>
      </c>
      <c r="F42" s="272"/>
      <c r="G42" s="65"/>
      <c r="H42" s="65"/>
    </row>
    <row r="43" spans="2:8" ht="6.75" customHeight="1" x14ac:dyDescent="0.25">
      <c r="B43" s="65"/>
      <c r="C43" s="70"/>
      <c r="D43" s="70"/>
      <c r="E43" s="71"/>
      <c r="F43" s="71"/>
      <c r="G43" s="65"/>
      <c r="H43" s="65"/>
    </row>
    <row r="44" spans="2:8" x14ac:dyDescent="0.25">
      <c r="B44" s="65"/>
      <c r="C44" s="72"/>
      <c r="D44" s="72"/>
      <c r="E44" s="72"/>
      <c r="F44" s="72"/>
      <c r="G44" s="65"/>
      <c r="H44" s="65"/>
    </row>
    <row r="45" spans="2:8" ht="21" customHeight="1" x14ac:dyDescent="0.25">
      <c r="B45" s="72" t="s">
        <v>57</v>
      </c>
      <c r="C45" s="72"/>
      <c r="D45" s="72"/>
      <c r="E45" s="72"/>
      <c r="F45" s="72"/>
      <c r="G45" s="72"/>
      <c r="H45" s="72"/>
    </row>
    <row r="46" spans="2:8" ht="20.25" customHeight="1" x14ac:dyDescent="0.25">
      <c r="B46" s="72" t="s">
        <v>58</v>
      </c>
      <c r="C46" s="72"/>
      <c r="D46" s="72"/>
      <c r="E46" s="72"/>
      <c r="F46" s="72"/>
      <c r="G46" s="72"/>
      <c r="H46" s="72"/>
    </row>
    <row r="47" spans="2:8" ht="20.25" customHeight="1" x14ac:dyDescent="0.25">
      <c r="B47" s="72" t="s">
        <v>59</v>
      </c>
      <c r="C47" s="72"/>
      <c r="D47" s="72"/>
      <c r="E47" s="72"/>
      <c r="F47" s="72"/>
      <c r="G47" s="72"/>
      <c r="H47" s="72"/>
    </row>
    <row r="48" spans="2:8" ht="20.25" customHeight="1" x14ac:dyDescent="0.25">
      <c r="B48" s="72" t="s">
        <v>60</v>
      </c>
      <c r="C48" s="72"/>
      <c r="D48" s="72"/>
      <c r="E48" s="72"/>
      <c r="F48" s="72"/>
      <c r="G48" s="72"/>
      <c r="H48" s="72"/>
    </row>
    <row r="49" spans="2:8" ht="16.5" customHeight="1" x14ac:dyDescent="0.25">
      <c r="B49" s="72" t="s">
        <v>61</v>
      </c>
      <c r="C49" s="72"/>
      <c r="D49" s="72"/>
      <c r="E49" s="72"/>
      <c r="F49" s="72"/>
      <c r="G49" s="72"/>
      <c r="H49" s="72"/>
    </row>
    <row r="50" spans="2:8" ht="17.25" customHeight="1" x14ac:dyDescent="0.25">
      <c r="B50" s="72" t="s">
        <v>62</v>
      </c>
      <c r="C50" s="65"/>
      <c r="D50" s="65"/>
      <c r="E50" s="65"/>
      <c r="F50" s="65"/>
      <c r="G50" s="65"/>
      <c r="H50" s="65"/>
    </row>
  </sheetData>
  <mergeCells count="62">
    <mergeCell ref="C41:D41"/>
    <mergeCell ref="E41:F41"/>
    <mergeCell ref="C42:D42"/>
    <mergeCell ref="E42:F42"/>
    <mergeCell ref="C38:D38"/>
    <mergeCell ref="E38:F38"/>
    <mergeCell ref="C39:D39"/>
    <mergeCell ref="E39:F39"/>
    <mergeCell ref="C40:D40"/>
    <mergeCell ref="E40:F40"/>
    <mergeCell ref="C35:D35"/>
    <mergeCell ref="E35:F35"/>
    <mergeCell ref="C36:D36"/>
    <mergeCell ref="E36:F36"/>
    <mergeCell ref="C37:D37"/>
    <mergeCell ref="E37:F37"/>
    <mergeCell ref="C32:D32"/>
    <mergeCell ref="E32:F32"/>
    <mergeCell ref="C33:D33"/>
    <mergeCell ref="E33:F33"/>
    <mergeCell ref="C34:D34"/>
    <mergeCell ref="E34:F34"/>
    <mergeCell ref="C29:D29"/>
    <mergeCell ref="E29:F29"/>
    <mergeCell ref="C30:D30"/>
    <mergeCell ref="E30:F30"/>
    <mergeCell ref="C31:D31"/>
    <mergeCell ref="E31:F31"/>
    <mergeCell ref="C26:D26"/>
    <mergeCell ref="E26:F26"/>
    <mergeCell ref="C27:D27"/>
    <mergeCell ref="E27:F27"/>
    <mergeCell ref="C28:D28"/>
    <mergeCell ref="E28:F28"/>
    <mergeCell ref="C23:D23"/>
    <mergeCell ref="E23:F23"/>
    <mergeCell ref="C24:D24"/>
    <mergeCell ref="E24:F24"/>
    <mergeCell ref="C25:D25"/>
    <mergeCell ref="E25:F25"/>
    <mergeCell ref="C20:D20"/>
    <mergeCell ref="E20:F20"/>
    <mergeCell ref="C21:D21"/>
    <mergeCell ref="E21:F21"/>
    <mergeCell ref="C22:D22"/>
    <mergeCell ref="E22:F22"/>
    <mergeCell ref="B8:H9"/>
    <mergeCell ref="B10:H10"/>
    <mergeCell ref="B11:H11"/>
    <mergeCell ref="B13:H14"/>
    <mergeCell ref="C19:D19"/>
    <mergeCell ref="E19:F19"/>
    <mergeCell ref="B16:H16"/>
    <mergeCell ref="C17:D17"/>
    <mergeCell ref="E17:F17"/>
    <mergeCell ref="C18:D18"/>
    <mergeCell ref="E18:F18"/>
    <mergeCell ref="B5:H5"/>
    <mergeCell ref="B7:H7"/>
    <mergeCell ref="B1:B4"/>
    <mergeCell ref="C1:G4"/>
    <mergeCell ref="B6:H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5" sqref="E5"/>
    </sheetView>
  </sheetViews>
  <sheetFormatPr baseColWidth="10" defaultColWidth="11.42578125" defaultRowHeight="15" x14ac:dyDescent="0.25"/>
  <sheetData>
    <row r="2" spans="2:5" x14ac:dyDescent="0.25">
      <c r="B2" t="s">
        <v>307</v>
      </c>
      <c r="E2" t="s">
        <v>93</v>
      </c>
    </row>
    <row r="3" spans="2:5" x14ac:dyDescent="0.25">
      <c r="B3" t="s">
        <v>308</v>
      </c>
    </row>
    <row r="4" spans="2:5" x14ac:dyDescent="0.25">
      <c r="B4" t="s">
        <v>309</v>
      </c>
    </row>
    <row r="5" spans="2:5" x14ac:dyDescent="0.25">
      <c r="B5" t="s">
        <v>105</v>
      </c>
    </row>
    <row r="8" spans="2:5" x14ac:dyDescent="0.25">
      <c r="B8" t="s">
        <v>310</v>
      </c>
    </row>
    <row r="9" spans="2:5" x14ac:dyDescent="0.25">
      <c r="B9" t="s">
        <v>311</v>
      </c>
    </row>
    <row r="10" spans="2:5" x14ac:dyDescent="0.25">
      <c r="B10" t="s">
        <v>312</v>
      </c>
    </row>
    <row r="13" spans="2:5" x14ac:dyDescent="0.25">
      <c r="B13" t="s">
        <v>313</v>
      </c>
    </row>
    <row r="14" spans="2:5" x14ac:dyDescent="0.25">
      <c r="B14" t="s">
        <v>97</v>
      </c>
    </row>
    <row r="15" spans="2:5" x14ac:dyDescent="0.25">
      <c r="B15" t="s">
        <v>314</v>
      </c>
    </row>
    <row r="16" spans="2:5" x14ac:dyDescent="0.25">
      <c r="B16" t="s">
        <v>315</v>
      </c>
    </row>
    <row r="17" spans="2:2" x14ac:dyDescent="0.25">
      <c r="B17" t="s">
        <v>316</v>
      </c>
    </row>
    <row r="18" spans="2:2" x14ac:dyDescent="0.25">
      <c r="B18" t="s">
        <v>317</v>
      </c>
    </row>
    <row r="19" spans="2:2" x14ac:dyDescent="0.25">
      <c r="B19" t="s">
        <v>318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100</v>
      </c>
    </row>
    <row r="4" spans="1:1" x14ac:dyDescent="0.2">
      <c r="A4" s="2" t="s">
        <v>183</v>
      </c>
    </row>
    <row r="5" spans="1:1" x14ac:dyDescent="0.2">
      <c r="A5" s="2" t="s">
        <v>185</v>
      </c>
    </row>
    <row r="6" spans="1:1" x14ac:dyDescent="0.2">
      <c r="A6" s="2" t="s">
        <v>187</v>
      </c>
    </row>
    <row r="7" spans="1:1" x14ac:dyDescent="0.2">
      <c r="A7" s="2" t="s">
        <v>101</v>
      </c>
    </row>
    <row r="8" spans="1:1" x14ac:dyDescent="0.2">
      <c r="A8" s="2" t="s">
        <v>102</v>
      </c>
    </row>
    <row r="9" spans="1:1" x14ac:dyDescent="0.2">
      <c r="A9" s="2" t="s">
        <v>193</v>
      </c>
    </row>
    <row r="10" spans="1:1" x14ac:dyDescent="0.2">
      <c r="A10" s="2" t="s">
        <v>103</v>
      </c>
    </row>
    <row r="11" spans="1:1" x14ac:dyDescent="0.2">
      <c r="A11" s="2" t="s">
        <v>196</v>
      </c>
    </row>
    <row r="12" spans="1:1" x14ac:dyDescent="0.2">
      <c r="A12" s="2" t="s">
        <v>319</v>
      </c>
    </row>
    <row r="13" spans="1:1" x14ac:dyDescent="0.2">
      <c r="A13" s="2" t="s">
        <v>320</v>
      </c>
    </row>
    <row r="14" spans="1:1" x14ac:dyDescent="0.2">
      <c r="A14" s="2" t="s">
        <v>321</v>
      </c>
    </row>
    <row r="16" spans="1:1" x14ac:dyDescent="0.2">
      <c r="A16" s="2" t="s">
        <v>322</v>
      </c>
    </row>
    <row r="17" spans="1:1" x14ac:dyDescent="0.2">
      <c r="A17" s="2" t="s">
        <v>307</v>
      </c>
    </row>
    <row r="18" spans="1:1" x14ac:dyDescent="0.2">
      <c r="A18" s="2" t="s">
        <v>308</v>
      </c>
    </row>
    <row r="20" spans="1:1" x14ac:dyDescent="0.2">
      <c r="A20" s="2" t="s">
        <v>311</v>
      </c>
    </row>
    <row r="21" spans="1:1" x14ac:dyDescent="0.2">
      <c r="A21" s="2" t="s">
        <v>312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2:BS89"/>
  <sheetViews>
    <sheetView showGridLines="0" tabSelected="1" zoomScale="40" zoomScaleNormal="40" workbookViewId="0">
      <pane xSplit="2" topLeftCell="C1" activePane="topRight" state="frozen"/>
      <selection pane="topRight" activeCell="AG15" sqref="AG15"/>
    </sheetView>
  </sheetViews>
  <sheetFormatPr baseColWidth="10" defaultColWidth="11.42578125" defaultRowHeight="14.25" x14ac:dyDescent="0.2"/>
  <cols>
    <col min="1" max="1" width="11.42578125" style="117"/>
    <col min="2" max="2" width="8.42578125" style="118" customWidth="1"/>
    <col min="3" max="3" width="15.140625" style="118" customWidth="1"/>
    <col min="4" max="4" width="19.85546875" style="118" customWidth="1"/>
    <col min="5" max="5" width="25.7109375" style="118" customWidth="1"/>
    <col min="6" max="6" width="27.140625" style="118" customWidth="1"/>
    <col min="7" max="7" width="40.140625" style="117" customWidth="1"/>
    <col min="8" max="8" width="40.140625" style="119" customWidth="1"/>
    <col min="9" max="9" width="17.85546875" style="117" customWidth="1"/>
    <col min="10" max="10" width="16.5703125" style="117" customWidth="1"/>
    <col min="11" max="11" width="6.85546875" style="117" bestFit="1" customWidth="1"/>
    <col min="12" max="12" width="27.28515625" style="117" bestFit="1" customWidth="1"/>
    <col min="13" max="13" width="16.28515625" style="117" hidden="1" customWidth="1"/>
    <col min="14" max="14" width="17.5703125" style="117" customWidth="1"/>
    <col min="15" max="15" width="6.85546875" style="117" bestFit="1" customWidth="1"/>
    <col min="16" max="16" width="16" style="117" customWidth="1"/>
    <col min="17" max="17" width="5.85546875" style="117" customWidth="1"/>
    <col min="18" max="18" width="43.5703125" style="120" customWidth="1"/>
    <col min="19" max="19" width="20.85546875" style="117" customWidth="1"/>
    <col min="20" max="20" width="6.85546875" style="117" customWidth="1"/>
    <col min="21" max="21" width="5" style="117" customWidth="1"/>
    <col min="22" max="22" width="5.5703125" style="117" customWidth="1"/>
    <col min="23" max="23" width="7.140625" style="117" customWidth="1"/>
    <col min="24" max="24" width="6.7109375" style="117" customWidth="1"/>
    <col min="25" max="25" width="7.5703125" style="117" customWidth="1"/>
    <col min="26" max="26" width="9.28515625" style="117" hidden="1" customWidth="1"/>
    <col min="27" max="27" width="19.85546875" style="117" customWidth="1"/>
    <col min="28" max="28" width="10.42578125" style="117" customWidth="1"/>
    <col min="29" max="29" width="9.28515625" style="117" customWidth="1"/>
    <col min="30" max="30" width="9.140625" style="117" customWidth="1"/>
    <col min="31" max="31" width="8.42578125" style="117" customWidth="1"/>
    <col min="32" max="32" width="12" style="117" customWidth="1"/>
    <col min="33" max="33" width="43.5703125" style="117" customWidth="1"/>
    <col min="34" max="34" width="18.85546875" style="117" customWidth="1"/>
    <col min="35" max="36" width="14.5703125" style="117" customWidth="1"/>
    <col min="37" max="37" width="18.140625" style="117" customWidth="1"/>
    <col min="38" max="38" width="18.5703125" style="117" customWidth="1"/>
    <col min="39" max="39" width="31.5703125" style="117" customWidth="1"/>
    <col min="40" max="16384" width="11.42578125" style="117"/>
  </cols>
  <sheetData>
    <row r="2" spans="1:71" ht="24.95" customHeight="1" x14ac:dyDescent="0.2">
      <c r="B2" s="401"/>
      <c r="C2" s="401"/>
      <c r="D2" s="417" t="s">
        <v>373</v>
      </c>
      <c r="E2" s="418"/>
      <c r="F2" s="418"/>
      <c r="G2" s="418"/>
      <c r="H2" s="418"/>
      <c r="I2" s="419"/>
      <c r="J2" s="423" t="s">
        <v>377</v>
      </c>
      <c r="K2" s="423"/>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2"/>
    </row>
    <row r="3" spans="1:71" ht="24.95" customHeight="1" x14ac:dyDescent="0.2">
      <c r="B3" s="401"/>
      <c r="C3" s="401"/>
      <c r="D3" s="420"/>
      <c r="E3" s="421"/>
      <c r="F3" s="421"/>
      <c r="G3" s="421"/>
      <c r="H3" s="421"/>
      <c r="I3" s="422"/>
      <c r="J3" s="423" t="s">
        <v>378</v>
      </c>
      <c r="K3" s="423"/>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2"/>
    </row>
    <row r="4" spans="1:71" ht="45" customHeight="1" x14ac:dyDescent="0.2">
      <c r="B4" s="401"/>
      <c r="C4" s="401"/>
      <c r="D4" s="417" t="s">
        <v>368</v>
      </c>
      <c r="E4" s="418"/>
      <c r="F4" s="418"/>
      <c r="G4" s="418"/>
      <c r="H4" s="418"/>
      <c r="I4" s="419"/>
      <c r="J4" s="424" t="s">
        <v>381</v>
      </c>
      <c r="K4" s="424"/>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3"/>
    </row>
    <row r="5" spans="1:71" ht="24.95" customHeight="1" x14ac:dyDescent="0.2">
      <c r="B5" s="401"/>
      <c r="C5" s="401"/>
      <c r="D5" s="420"/>
      <c r="E5" s="421"/>
      <c r="F5" s="421"/>
      <c r="G5" s="421"/>
      <c r="H5" s="421"/>
      <c r="I5" s="422"/>
      <c r="J5" s="424" t="s">
        <v>379</v>
      </c>
      <c r="K5" s="424"/>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3"/>
    </row>
    <row r="6" spans="1:71" x14ac:dyDescent="0.2">
      <c r="B6" s="124"/>
      <c r="C6" s="124"/>
      <c r="D6" s="125"/>
      <c r="E6" s="124"/>
      <c r="F6" s="124"/>
      <c r="G6" s="126"/>
      <c r="H6" s="127"/>
      <c r="I6" s="126"/>
      <c r="J6" s="126"/>
      <c r="K6" s="126"/>
      <c r="L6" s="126"/>
      <c r="M6" s="126"/>
      <c r="N6" s="126"/>
      <c r="O6" s="126"/>
      <c r="P6" s="126"/>
      <c r="Q6" s="126"/>
      <c r="R6" s="128"/>
      <c r="S6" s="126"/>
      <c r="T6" s="126"/>
      <c r="U6" s="126"/>
      <c r="V6" s="126"/>
      <c r="W6" s="126"/>
      <c r="X6" s="126"/>
      <c r="Y6" s="126"/>
      <c r="Z6" s="126"/>
      <c r="AA6" s="126"/>
      <c r="AB6" s="126"/>
      <c r="AC6" s="126"/>
      <c r="AD6" s="126"/>
      <c r="AE6" s="126"/>
      <c r="AF6" s="126"/>
      <c r="AG6" s="126"/>
      <c r="AH6" s="126"/>
      <c r="AI6" s="126"/>
      <c r="AJ6" s="126"/>
      <c r="AK6" s="126"/>
      <c r="AL6" s="126"/>
    </row>
    <row r="7" spans="1:71" ht="19.5" customHeight="1" x14ac:dyDescent="0.2">
      <c r="B7" s="402" t="s">
        <v>63</v>
      </c>
      <c r="C7" s="402"/>
      <c r="D7" s="402"/>
      <c r="E7" s="403" t="s">
        <v>355</v>
      </c>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row>
    <row r="8" spans="1:71" ht="19.5" customHeight="1" x14ac:dyDescent="0.2">
      <c r="B8" s="402" t="s">
        <v>64</v>
      </c>
      <c r="C8" s="402"/>
      <c r="D8" s="402"/>
      <c r="E8" s="403" t="s">
        <v>356</v>
      </c>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row>
    <row r="9" spans="1:71" s="126" customFormat="1" x14ac:dyDescent="0.2">
      <c r="B9" s="124"/>
      <c r="C9" s="124"/>
      <c r="D9" s="124"/>
      <c r="E9" s="124"/>
      <c r="F9" s="124"/>
      <c r="H9" s="127"/>
      <c r="R9" s="128"/>
    </row>
    <row r="10" spans="1:71" ht="25.5" customHeight="1" thickBot="1" x14ac:dyDescent="0.25">
      <c r="B10" s="124"/>
      <c r="C10" s="277"/>
      <c r="D10" s="277"/>
      <c r="E10" s="277"/>
      <c r="F10" s="277"/>
      <c r="G10" s="277"/>
      <c r="H10" s="277"/>
      <c r="I10" s="277"/>
      <c r="J10" s="126"/>
      <c r="K10" s="126"/>
      <c r="L10" s="126"/>
      <c r="M10" s="126"/>
      <c r="N10" s="126"/>
      <c r="O10" s="126"/>
      <c r="P10" s="126"/>
      <c r="Q10" s="126"/>
      <c r="R10" s="128"/>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row>
    <row r="11" spans="1:71" ht="15" thickTop="1" x14ac:dyDescent="0.2">
      <c r="B11" s="389" t="s">
        <v>65</v>
      </c>
      <c r="C11" s="390"/>
      <c r="D11" s="390"/>
      <c r="E11" s="390"/>
      <c r="F11" s="390"/>
      <c r="G11" s="390"/>
      <c r="H11" s="390"/>
      <c r="I11" s="391"/>
      <c r="J11" s="367" t="s">
        <v>66</v>
      </c>
      <c r="K11" s="368"/>
      <c r="L11" s="368"/>
      <c r="M11" s="368"/>
      <c r="N11" s="368"/>
      <c r="O11" s="368"/>
      <c r="P11" s="369"/>
      <c r="Q11" s="408" t="s">
        <v>67</v>
      </c>
      <c r="R11" s="409"/>
      <c r="S11" s="409"/>
      <c r="T11" s="409"/>
      <c r="U11" s="409"/>
      <c r="V11" s="409"/>
      <c r="W11" s="409"/>
      <c r="X11" s="409"/>
      <c r="Y11" s="410"/>
      <c r="Z11" s="411" t="s">
        <v>68</v>
      </c>
      <c r="AA11" s="412"/>
      <c r="AB11" s="412"/>
      <c r="AC11" s="412"/>
      <c r="AD11" s="412"/>
      <c r="AE11" s="412"/>
      <c r="AF11" s="413"/>
      <c r="AG11" s="414" t="s">
        <v>69</v>
      </c>
      <c r="AH11" s="415"/>
      <c r="AI11" s="415"/>
      <c r="AJ11" s="415"/>
      <c r="AK11" s="415"/>
      <c r="AL11" s="415"/>
      <c r="AM11" s="41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row>
    <row r="12" spans="1:71" ht="16.5" customHeight="1" x14ac:dyDescent="0.2">
      <c r="B12" s="393" t="s">
        <v>324</v>
      </c>
      <c r="C12" s="377" t="s">
        <v>323</v>
      </c>
      <c r="D12" s="381" t="s">
        <v>17</v>
      </c>
      <c r="E12" s="379" t="s">
        <v>19</v>
      </c>
      <c r="F12" s="379" t="s">
        <v>21</v>
      </c>
      <c r="G12" s="397" t="s">
        <v>23</v>
      </c>
      <c r="H12" s="395" t="s">
        <v>25</v>
      </c>
      <c r="I12" s="379" t="s">
        <v>70</v>
      </c>
      <c r="J12" s="363" t="s">
        <v>71</v>
      </c>
      <c r="K12" s="365" t="s">
        <v>72</v>
      </c>
      <c r="L12" s="385" t="s">
        <v>73</v>
      </c>
      <c r="M12" s="385" t="s">
        <v>74</v>
      </c>
      <c r="N12" s="386" t="s">
        <v>75</v>
      </c>
      <c r="O12" s="365" t="s">
        <v>72</v>
      </c>
      <c r="P12" s="383" t="s">
        <v>31</v>
      </c>
      <c r="Q12" s="372" t="s">
        <v>76</v>
      </c>
      <c r="R12" s="362" t="s">
        <v>33</v>
      </c>
      <c r="S12" s="387" t="s">
        <v>35</v>
      </c>
      <c r="T12" s="362" t="s">
        <v>77</v>
      </c>
      <c r="U12" s="362"/>
      <c r="V12" s="362"/>
      <c r="W12" s="362"/>
      <c r="X12" s="362"/>
      <c r="Y12" s="362"/>
      <c r="Z12" s="374" t="s">
        <v>78</v>
      </c>
      <c r="AA12" s="374" t="s">
        <v>79</v>
      </c>
      <c r="AB12" s="374" t="s">
        <v>72</v>
      </c>
      <c r="AC12" s="374" t="s">
        <v>80</v>
      </c>
      <c r="AD12" s="374" t="s">
        <v>72</v>
      </c>
      <c r="AE12" s="374" t="s">
        <v>81</v>
      </c>
      <c r="AF12" s="370" t="s">
        <v>51</v>
      </c>
      <c r="AG12" s="358" t="s">
        <v>69</v>
      </c>
      <c r="AH12" s="358" t="s">
        <v>82</v>
      </c>
      <c r="AI12" s="358" t="s">
        <v>83</v>
      </c>
      <c r="AJ12" s="406" t="s">
        <v>84</v>
      </c>
      <c r="AK12" s="358" t="s">
        <v>85</v>
      </c>
      <c r="AL12" s="358" t="s">
        <v>86</v>
      </c>
      <c r="AM12" s="360" t="s">
        <v>55</v>
      </c>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row>
    <row r="13" spans="1:71" s="131" customFormat="1" ht="78" customHeight="1" thickBot="1" x14ac:dyDescent="0.3">
      <c r="A13" s="129"/>
      <c r="B13" s="394"/>
      <c r="C13" s="378"/>
      <c r="D13" s="382"/>
      <c r="E13" s="380"/>
      <c r="F13" s="380"/>
      <c r="G13" s="382"/>
      <c r="H13" s="396"/>
      <c r="I13" s="380"/>
      <c r="J13" s="364"/>
      <c r="K13" s="366"/>
      <c r="L13" s="364"/>
      <c r="M13" s="364"/>
      <c r="N13" s="366"/>
      <c r="O13" s="366"/>
      <c r="P13" s="384"/>
      <c r="Q13" s="373"/>
      <c r="R13" s="376"/>
      <c r="S13" s="388"/>
      <c r="T13" s="130" t="s">
        <v>87</v>
      </c>
      <c r="U13" s="130" t="s">
        <v>88</v>
      </c>
      <c r="V13" s="130" t="s">
        <v>89</v>
      </c>
      <c r="W13" s="130" t="s">
        <v>90</v>
      </c>
      <c r="X13" s="130" t="s">
        <v>91</v>
      </c>
      <c r="Y13" s="130" t="s">
        <v>92</v>
      </c>
      <c r="Z13" s="375"/>
      <c r="AA13" s="375"/>
      <c r="AB13" s="375"/>
      <c r="AC13" s="375"/>
      <c r="AD13" s="375"/>
      <c r="AE13" s="375"/>
      <c r="AF13" s="371"/>
      <c r="AG13" s="359"/>
      <c r="AH13" s="359"/>
      <c r="AI13" s="359"/>
      <c r="AJ13" s="407"/>
      <c r="AK13" s="359"/>
      <c r="AL13" s="359"/>
      <c r="AM13" s="361"/>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row>
    <row r="14" spans="1:71" s="612" customFormat="1" ht="214.5" customHeight="1" thickTop="1" thickBot="1" x14ac:dyDescent="0.3">
      <c r="B14" s="613">
        <v>1</v>
      </c>
      <c r="C14" s="614" t="s">
        <v>343</v>
      </c>
      <c r="D14" s="615" t="s">
        <v>93</v>
      </c>
      <c r="E14" s="615" t="s">
        <v>94</v>
      </c>
      <c r="F14" s="615" t="s">
        <v>95</v>
      </c>
      <c r="G14" s="615" t="s">
        <v>96</v>
      </c>
      <c r="H14" s="615" t="s">
        <v>97</v>
      </c>
      <c r="I14" s="616">
        <v>2</v>
      </c>
      <c r="J14" s="617" t="str">
        <f>IF(I14&lt;=0,"",IF(I14&lt;=2,"Muy Baja",IF(I14&lt;=24,"Baja",IF(I14&lt;=500,"Media",IF(I14&lt;=5000,"Alta","Muy Alta")))))</f>
        <v>Muy Baja</v>
      </c>
      <c r="K14" s="618">
        <f>IF(J14="","",IF(J14="Muy Baja",0.2,IF(J14="Baja",0.4,IF(J14="Media",0.6,IF(J14="Alta",0.8,IF(J14="Muy Alta",1,))))))</f>
        <v>0.2</v>
      </c>
      <c r="L14" s="619" t="s">
        <v>162</v>
      </c>
      <c r="M14" s="618" t="str">
        <f>IF(NOT(ISERROR(MATCH(L14,'Tabla Impacto'!$B$225:$B$227,0))),'Tabla Impacto'!$G$227&amp;"Por favor no seleccionar los criterios de impacto(Afectación Económica o presupuestal y Pérdida Reputacional)",L14)</f>
        <v xml:space="preserve">     El riesgo afecta la imagen de de la entidad con efecto publicitario sostenido a nivel de sector administrativo, nivel departamental o municipal</v>
      </c>
      <c r="N14" s="617" t="str">
        <f>IF(OR(M14='Tabla Impacto'!$C$15,M14='Tabla Impacto'!$E$15),"Leve",IF(OR(M14='Tabla Impacto'!$C$16,M14='Tabla Impacto'!$E$16),"Menor",IF(OR(M14='Tabla Impacto'!$C$17,M14='Tabla Impacto'!$E$17),"Moderado",IF(OR(M14='Tabla Impacto'!$C$18,M14='Tabla Impacto'!$E$18),"Mayor",IF(OR(M14='Tabla Impacto'!$C$19,M14='Tabla Impacto'!$E$19),"Catastrófico","")))))</f>
        <v>Mayor</v>
      </c>
      <c r="O14" s="618">
        <f>IF(N14="","",IF(N14="Leve",0.2,IF(N14="Menor",0.4,IF(N14="Moderado",0.6,IF(N14="Mayor",0.8,IF(N14="Catastrófico",1,))))))</f>
        <v>0.8</v>
      </c>
      <c r="P14" s="620" t="str">
        <f>IF(OR(AND(J14="Muy Baja",N14="Leve"),AND(J14="Muy Baja",N14="Menor"),AND(J14="Baja",N14="Leve")),"Bajo",IF(OR(AND(J14="Muy baja",N14="Moderado"),AND(J14="Baja",N14="Menor"),AND(J14="Baja",N14="Moderado"),AND(J14="Media",N14="Leve"),AND(J14="Media",N14="Menor"),AND(J14="Media",N14="Moderado"),AND(J14="Alta",N14="Leve"),AND(J14="Alta",N14="Menor")),"Moderado",IF(OR(AND(J14="Muy Baja",N14="Mayor"),AND(J14="Baja",N14="Mayor"),AND(J14="Media",N14="Mayor"),AND(J14="Alta",N14="Moderado"),AND(J14="Alta",N14="Mayor"),AND(J14="Muy Alta",N14="Leve"),AND(J14="Muy Alta",N14="Menor"),AND(J14="Muy Alta",N14="Moderado"),AND(J14="Muy Alta",N14="Mayor")),"Alto",IF(OR(AND(J14="Muy Baja",N14="Catastrófico"),AND(J14="Baja",N14="Catastrófico"),AND(J14="Media",N14="Catastrófico"),AND(J14="Alta",N14="Catastrófico"),AND(J14="Muy Alta",N14="Catastrófico")),"Extremo",""))))</f>
        <v>Alto</v>
      </c>
      <c r="Q14" s="621">
        <v>1</v>
      </c>
      <c r="R14" s="622" t="s">
        <v>99</v>
      </c>
      <c r="S14" s="623" t="str">
        <f>IF(OR(T14="Preventivo",T14="Detectivo"),"Probabilidad",IF(T14="Correctivo","Impacto",""))</f>
        <v>Probabilidad</v>
      </c>
      <c r="T14" s="624" t="s">
        <v>100</v>
      </c>
      <c r="U14" s="624" t="s">
        <v>101</v>
      </c>
      <c r="V14" s="625" t="str">
        <f>IF(AND(T14="Preventivo",U14="Automático"),"50%",IF(AND(T14="Preventivo",U14="Manual"),"40%",IF(AND(T14="Detectivo",U14="Automático"),"40%",IF(AND(T14="Detectivo",U14="Manual"),"30%",IF(AND(T14="Correctivo",U14="Automático"),"35%",IF(AND(T14="Correctivo",U14="Manual"),"25%",""))))))</f>
        <v>40%</v>
      </c>
      <c r="W14" s="624" t="s">
        <v>102</v>
      </c>
      <c r="X14" s="624" t="s">
        <v>103</v>
      </c>
      <c r="Y14" s="624" t="s">
        <v>104</v>
      </c>
      <c r="Z14" s="626">
        <f>IFERROR(IF(S14="Probabilidad",(K14-(+K14*V14)),IF(S14="Impacto",K14,"")),"")</f>
        <v>0.12</v>
      </c>
      <c r="AA14" s="627" t="str">
        <f>IFERROR(IF(Z14="","",IF(Z14&lt;=0.2,"Muy Baja",IF(Z14&lt;=0.4,"Baja",IF(Z14&lt;=0.6,"Media",IF(Z14&lt;=0.8,"Alta","Muy Alta"))))),"")</f>
        <v>Muy Baja</v>
      </c>
      <c r="AB14" s="625">
        <f>+Z14</f>
        <v>0.12</v>
      </c>
      <c r="AC14" s="627" t="str">
        <f>IFERROR(IF(AD14="","",IF(AD14&lt;=0.2,"Leve",IF(AD14&lt;=0.4,"Menor",IF(AD14&lt;=0.6,"Moderado",IF(AD14&lt;=0.8,"Mayor","Catastrófico"))))),"")</f>
        <v>Mayor</v>
      </c>
      <c r="AD14" s="625">
        <f>IFERROR(IF(S14="Impacto",(O14-(+O14*V14)),IF(S14="Probabilidad",O14,"")),"")</f>
        <v>0.8</v>
      </c>
      <c r="AE14" s="628" t="str">
        <f>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Alto</v>
      </c>
      <c r="AF14" s="624" t="s">
        <v>105</v>
      </c>
      <c r="AG14" s="629" t="s">
        <v>389</v>
      </c>
      <c r="AH14" s="629" t="s">
        <v>390</v>
      </c>
      <c r="AI14" s="630">
        <v>45659</v>
      </c>
      <c r="AJ14" s="630" t="s">
        <v>386</v>
      </c>
      <c r="AK14" s="630"/>
      <c r="AL14" s="631"/>
      <c r="AM14" s="632"/>
      <c r="AN14" s="633"/>
      <c r="AO14" s="633"/>
      <c r="AP14" s="633"/>
      <c r="AQ14" s="633"/>
      <c r="AR14" s="633"/>
      <c r="AS14" s="633"/>
      <c r="AT14" s="633"/>
      <c r="AU14" s="633"/>
      <c r="AV14" s="633"/>
      <c r="AW14" s="633"/>
      <c r="AX14" s="633"/>
      <c r="AY14" s="633"/>
      <c r="AZ14" s="633"/>
      <c r="BA14" s="633"/>
      <c r="BB14" s="633"/>
      <c r="BC14" s="633"/>
      <c r="BD14" s="633"/>
      <c r="BE14" s="633"/>
      <c r="BF14" s="633"/>
      <c r="BG14" s="633"/>
      <c r="BH14" s="633"/>
      <c r="BI14" s="633"/>
      <c r="BJ14" s="633"/>
      <c r="BK14" s="633"/>
      <c r="BL14" s="633"/>
      <c r="BM14" s="633"/>
      <c r="BN14" s="633"/>
      <c r="BO14" s="633"/>
      <c r="BP14" s="633"/>
      <c r="BQ14" s="633"/>
      <c r="BR14" s="633"/>
      <c r="BS14" s="633"/>
    </row>
    <row r="15" spans="1:71" s="204" customFormat="1" ht="129" thickTop="1" x14ac:dyDescent="0.2">
      <c r="B15" s="315"/>
      <c r="C15" s="309"/>
      <c r="D15" s="298"/>
      <c r="E15" s="298"/>
      <c r="F15" s="298"/>
      <c r="G15" s="298"/>
      <c r="H15" s="298"/>
      <c r="I15" s="301"/>
      <c r="J15" s="304"/>
      <c r="K15" s="346"/>
      <c r="L15" s="333"/>
      <c r="M15" s="346">
        <f>IF(NOT(ISERROR(MATCH(L15,_xlfn.ANCHORARRAY(G38),0))),K40&amp;"Por favor no seleccionar los criterios de impacto",L15)</f>
        <v>0</v>
      </c>
      <c r="N15" s="304"/>
      <c r="O15" s="346"/>
      <c r="P15" s="354"/>
      <c r="Q15" s="221">
        <v>2</v>
      </c>
      <c r="R15" s="191" t="s">
        <v>333</v>
      </c>
      <c r="S15" s="205" t="str">
        <f>IF(OR(T15="Preventivo",T15="Detectivo"),"Probabilidad",IF(T15="Correctivo","Impacto",""))</f>
        <v>Probabilidad</v>
      </c>
      <c r="T15" s="206" t="s">
        <v>100</v>
      </c>
      <c r="U15" s="206" t="s">
        <v>101</v>
      </c>
      <c r="V15" s="207">
        <v>0.4</v>
      </c>
      <c r="W15" s="206" t="s">
        <v>102</v>
      </c>
      <c r="X15" s="206" t="s">
        <v>103</v>
      </c>
      <c r="Y15" s="206" t="s">
        <v>104</v>
      </c>
      <c r="Z15" s="195">
        <f>IFERROR(IF(S15="Probabilidad",(K15-(+K15*V15)),IF(S15="Impacto",K15,"")),"")</f>
        <v>0</v>
      </c>
      <c r="AA15" s="208" t="str">
        <f>IFERROR(IF(Z15="","",IF(Z15&lt;=0.2,"Muy Baja",IF(Z15&lt;=0.4,"Baja",IF(Z15&lt;=0.6,"Media",IF(Z15&lt;=0.8,"Alta","Muy Alta"))))),"")</f>
        <v>Muy Baja</v>
      </c>
      <c r="AB15" s="194">
        <f>+Z15</f>
        <v>0</v>
      </c>
      <c r="AC15" s="208" t="str">
        <f>IFERROR(IF(AD15="","",IF(AD15&lt;=0.2,"Leve",IF(AD15&lt;=0.4,"Menor",IF(AD15&lt;=0.6,"Moderado",IF(AD15&lt;=0.8,"Mayor","Catastrófico"))))),"")</f>
        <v>Leve</v>
      </c>
      <c r="AD15" s="194">
        <f>IFERROR(IF(S15="Impacto",(O15-(+O15*V15)),IF(S15="Probabilidad",O15,"")),"")</f>
        <v>0</v>
      </c>
      <c r="AE15" s="209" t="str">
        <f>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Bajo</v>
      </c>
      <c r="AF15" s="193" t="s">
        <v>105</v>
      </c>
      <c r="AG15" s="640" t="s">
        <v>388</v>
      </c>
      <c r="AH15" s="198" t="s">
        <v>106</v>
      </c>
      <c r="AI15" s="630">
        <v>45659</v>
      </c>
      <c r="AJ15" s="630" t="s">
        <v>386</v>
      </c>
      <c r="AK15" s="199"/>
      <c r="AL15" s="201"/>
      <c r="AM15" s="228"/>
      <c r="AN15" s="203"/>
      <c r="AO15" s="203"/>
      <c r="AP15" s="203"/>
      <c r="AQ15" s="203"/>
      <c r="AR15" s="203"/>
      <c r="AS15" s="203"/>
      <c r="AT15" s="203"/>
      <c r="AU15" s="203"/>
      <c r="AV15" s="203"/>
      <c r="AW15" s="203"/>
      <c r="AX15" s="203"/>
      <c r="AY15" s="203"/>
      <c r="AZ15" s="203"/>
      <c r="BA15" s="203"/>
      <c r="BB15" s="203"/>
      <c r="BC15" s="203"/>
      <c r="BD15" s="203"/>
      <c r="BE15" s="203"/>
      <c r="BF15" s="203"/>
      <c r="BG15" s="203"/>
      <c r="BH15" s="203"/>
      <c r="BI15" s="203"/>
      <c r="BJ15" s="203"/>
      <c r="BK15" s="203"/>
      <c r="BL15" s="203"/>
      <c r="BM15" s="203"/>
      <c r="BN15" s="203"/>
      <c r="BO15" s="203"/>
      <c r="BP15" s="203"/>
      <c r="BQ15" s="203"/>
      <c r="BR15" s="203"/>
      <c r="BS15" s="203"/>
    </row>
    <row r="16" spans="1:71" s="204" customFormat="1" ht="18" customHeight="1" x14ac:dyDescent="0.2">
      <c r="B16" s="315"/>
      <c r="C16" s="309"/>
      <c r="D16" s="298"/>
      <c r="E16" s="298"/>
      <c r="F16" s="298"/>
      <c r="G16" s="298"/>
      <c r="H16" s="298"/>
      <c r="I16" s="301"/>
      <c r="J16" s="304"/>
      <c r="K16" s="346"/>
      <c r="L16" s="333"/>
      <c r="M16" s="346">
        <f>IF(NOT(ISERROR(MATCH(L16,_xlfn.ANCHORARRAY(G39),0))),K41&amp;"Por favor no seleccionar los criterios de impacto",L16)</f>
        <v>0</v>
      </c>
      <c r="N16" s="304"/>
      <c r="O16" s="346"/>
      <c r="P16" s="354"/>
      <c r="Q16" s="190">
        <v>3</v>
      </c>
      <c r="R16" s="210"/>
      <c r="S16" s="212"/>
      <c r="T16" s="213"/>
      <c r="U16" s="213"/>
      <c r="V16" s="214"/>
      <c r="W16" s="213"/>
      <c r="X16" s="213"/>
      <c r="Y16" s="213"/>
      <c r="Z16" s="215"/>
      <c r="AA16" s="196" t="str">
        <f t="shared" ref="AA16:AA19" si="0">IFERROR(IF(Z16="","",IF(Z16&lt;=0.2,"Muy Baja",IF(Z16&lt;=0.4,"Baja",IF(Z16&lt;=0.6,"Media",IF(Z16&lt;=0.8,"Alta","Muy Alta"))))),"")</f>
        <v/>
      </c>
      <c r="AB16" s="217"/>
      <c r="AC16" s="216"/>
      <c r="AD16" s="217"/>
      <c r="AE16" s="218"/>
      <c r="AF16" s="219"/>
      <c r="AG16" s="201"/>
      <c r="AH16" s="220"/>
      <c r="AI16" s="200"/>
      <c r="AJ16" s="200"/>
      <c r="AK16" s="200"/>
      <c r="AL16" s="201"/>
      <c r="AM16" s="202"/>
      <c r="AN16" s="203"/>
      <c r="AO16" s="203"/>
      <c r="AP16" s="203"/>
      <c r="AQ16" s="203"/>
      <c r="AR16" s="203"/>
      <c r="AS16" s="203"/>
      <c r="AT16" s="203"/>
      <c r="AU16" s="203"/>
      <c r="AV16" s="203"/>
      <c r="AW16" s="203"/>
      <c r="AX16" s="203"/>
      <c r="AY16" s="203"/>
      <c r="AZ16" s="203"/>
      <c r="BA16" s="203"/>
      <c r="BB16" s="203"/>
      <c r="BC16" s="203"/>
      <c r="BD16" s="203"/>
      <c r="BE16" s="203"/>
      <c r="BF16" s="203"/>
      <c r="BG16" s="203"/>
      <c r="BH16" s="203"/>
      <c r="BI16" s="203"/>
      <c r="BJ16" s="203"/>
      <c r="BK16" s="203"/>
      <c r="BL16" s="203"/>
      <c r="BM16" s="203"/>
      <c r="BN16" s="203"/>
      <c r="BO16" s="203"/>
      <c r="BP16" s="203"/>
      <c r="BQ16" s="203"/>
      <c r="BR16" s="203"/>
      <c r="BS16" s="203"/>
    </row>
    <row r="17" spans="2:71" s="204" customFormat="1" ht="18" customHeight="1" x14ac:dyDescent="0.2">
      <c r="B17" s="315"/>
      <c r="C17" s="309"/>
      <c r="D17" s="298"/>
      <c r="E17" s="298"/>
      <c r="F17" s="298"/>
      <c r="G17" s="298"/>
      <c r="H17" s="298"/>
      <c r="I17" s="301"/>
      <c r="J17" s="304"/>
      <c r="K17" s="346"/>
      <c r="L17" s="333"/>
      <c r="M17" s="346">
        <f>IF(NOT(ISERROR(MATCH(L17,_xlfn.ANCHORARRAY(G40),0))),K42&amp;"Por favor no seleccionar los criterios de impacto",L17)</f>
        <v>0</v>
      </c>
      <c r="N17" s="304"/>
      <c r="O17" s="346"/>
      <c r="P17" s="354"/>
      <c r="Q17" s="190">
        <v>4</v>
      </c>
      <c r="R17" s="191"/>
      <c r="S17" s="212"/>
      <c r="T17" s="213"/>
      <c r="U17" s="213"/>
      <c r="V17" s="214"/>
      <c r="W17" s="213"/>
      <c r="X17" s="213"/>
      <c r="Y17" s="213"/>
      <c r="Z17" s="215"/>
      <c r="AA17" s="196" t="str">
        <f t="shared" si="0"/>
        <v/>
      </c>
      <c r="AB17" s="217"/>
      <c r="AC17" s="216"/>
      <c r="AD17" s="217"/>
      <c r="AE17" s="218"/>
      <c r="AF17" s="219"/>
      <c r="AG17" s="201"/>
      <c r="AH17" s="220"/>
      <c r="AI17" s="200"/>
      <c r="AJ17" s="200"/>
      <c r="AK17" s="200"/>
      <c r="AL17" s="201"/>
      <c r="AM17" s="202"/>
      <c r="AN17" s="203"/>
      <c r="AO17" s="203"/>
      <c r="AP17" s="203"/>
      <c r="AQ17" s="203"/>
      <c r="AR17" s="203"/>
      <c r="AS17" s="203"/>
      <c r="AT17" s="203"/>
      <c r="AU17" s="203"/>
      <c r="AV17" s="203"/>
      <c r="AW17" s="203"/>
      <c r="AX17" s="203"/>
      <c r="AY17" s="203"/>
      <c r="AZ17" s="203"/>
      <c r="BA17" s="203"/>
      <c r="BB17" s="203"/>
      <c r="BC17" s="203"/>
      <c r="BD17" s="203"/>
      <c r="BE17" s="203"/>
      <c r="BF17" s="203"/>
      <c r="BG17" s="203"/>
      <c r="BH17" s="203"/>
      <c r="BI17" s="203"/>
      <c r="BJ17" s="203"/>
      <c r="BK17" s="203"/>
      <c r="BL17" s="203"/>
      <c r="BM17" s="203"/>
      <c r="BN17" s="203"/>
      <c r="BO17" s="203"/>
      <c r="BP17" s="203"/>
      <c r="BQ17" s="203"/>
      <c r="BR17" s="203"/>
      <c r="BS17" s="203"/>
    </row>
    <row r="18" spans="2:71" s="204" customFormat="1" ht="18" customHeight="1" x14ac:dyDescent="0.2">
      <c r="B18" s="315"/>
      <c r="C18" s="309"/>
      <c r="D18" s="298"/>
      <c r="E18" s="298"/>
      <c r="F18" s="298"/>
      <c r="G18" s="298"/>
      <c r="H18" s="298"/>
      <c r="I18" s="301"/>
      <c r="J18" s="304"/>
      <c r="K18" s="346"/>
      <c r="L18" s="333"/>
      <c r="M18" s="346">
        <f>IF(NOT(ISERROR(MATCH(L18,_xlfn.ANCHORARRAY(G41),0))),K43&amp;"Por favor no seleccionar los criterios de impacto",L18)</f>
        <v>0</v>
      </c>
      <c r="N18" s="304"/>
      <c r="O18" s="346"/>
      <c r="P18" s="354"/>
      <c r="Q18" s="190">
        <v>5</v>
      </c>
      <c r="R18" s="191"/>
      <c r="S18" s="212" t="str">
        <f t="shared" ref="S18:S19" si="1">IF(OR(T18="Preventivo",T18="Detectivo"),"Probabilidad",IF(T18="Correctivo","Impacto",""))</f>
        <v/>
      </c>
      <c r="T18" s="213"/>
      <c r="U18" s="213"/>
      <c r="V18" s="214" t="str">
        <f t="shared" ref="V18:V19" si="2">IF(AND(T18="Preventivo",U18="Automático"),"50%",IF(AND(T18="Preventivo",U18="Manual"),"40%",IF(AND(T18="Detectivo",U18="Automático"),"40%",IF(AND(T18="Detectivo",U18="Manual"),"30%",IF(AND(T18="Correctivo",U18="Automático"),"35%",IF(AND(T18="Correctivo",U18="Manual"),"25%",""))))))</f>
        <v/>
      </c>
      <c r="W18" s="213"/>
      <c r="X18" s="213"/>
      <c r="Y18" s="213"/>
      <c r="Z18" s="215" t="str">
        <f t="shared" ref="Z18:Z19" si="3">IFERROR(IF(AND(S17="Probabilidad",S18="Probabilidad"),(AB17-(+AB17*V18)),IF(AND(S17="Impacto",S18="Probabilidad"),(AB16-(+AB16*V18)),IF(S18="Impacto",AB17,""))),"")</f>
        <v/>
      </c>
      <c r="AA18" s="196" t="str">
        <f t="shared" si="0"/>
        <v/>
      </c>
      <c r="AB18" s="217" t="str">
        <f t="shared" ref="AB18:AB19" si="4">+Z18</f>
        <v/>
      </c>
      <c r="AC18" s="216" t="str">
        <f t="shared" ref="AC18:AC38" si="5">IFERROR(IF(AD18="","",IF(AD18&lt;=0.2,"Leve",IF(AD18&lt;=0.4,"Menor",IF(AD18&lt;=0.6,"Moderado",IF(AD18&lt;=0.8,"Mayor","Catastrófico"))))),"")</f>
        <v/>
      </c>
      <c r="AD18" s="217" t="str">
        <f t="shared" ref="AD18:AD19" si="6">IFERROR(IF(AND(S17="Impacto",S18="Impacto"),(AD17-(+AD17*V18)),IF(AND(S17="Probabilidad",S18="Impacto"),(AD16-(+AD16*V18)),IF(S18="Probabilidad",AD17,""))),"")</f>
        <v/>
      </c>
      <c r="AE18" s="218" t="str">
        <f t="shared" ref="AE18:AE19" si="7">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219"/>
      <c r="AG18" s="201"/>
      <c r="AH18" s="220"/>
      <c r="AI18" s="200"/>
      <c r="AJ18" s="200"/>
      <c r="AK18" s="200"/>
      <c r="AL18" s="201"/>
      <c r="AM18" s="202"/>
      <c r="AN18" s="203"/>
      <c r="AO18" s="203"/>
      <c r="AP18" s="203"/>
      <c r="AQ18" s="203"/>
      <c r="AR18" s="203"/>
      <c r="AS18" s="203"/>
      <c r="AT18" s="203"/>
      <c r="AU18" s="203"/>
      <c r="AV18" s="203"/>
      <c r="AW18" s="203"/>
      <c r="AX18" s="203"/>
      <c r="AY18" s="203"/>
      <c r="AZ18" s="203"/>
      <c r="BA18" s="203"/>
      <c r="BB18" s="203"/>
      <c r="BC18" s="203"/>
      <c r="BD18" s="203"/>
      <c r="BE18" s="203"/>
      <c r="BF18" s="203"/>
      <c r="BG18" s="203"/>
      <c r="BH18" s="203"/>
      <c r="BI18" s="203"/>
      <c r="BJ18" s="203"/>
      <c r="BK18" s="203"/>
      <c r="BL18" s="203"/>
      <c r="BM18" s="203"/>
      <c r="BN18" s="203"/>
      <c r="BO18" s="203"/>
      <c r="BP18" s="203"/>
      <c r="BQ18" s="203"/>
      <c r="BR18" s="203"/>
      <c r="BS18" s="203"/>
    </row>
    <row r="19" spans="2:71" s="204" customFormat="1" ht="18" customHeight="1" x14ac:dyDescent="0.2">
      <c r="B19" s="316"/>
      <c r="C19" s="310"/>
      <c r="D19" s="306"/>
      <c r="E19" s="306"/>
      <c r="F19" s="306"/>
      <c r="G19" s="306"/>
      <c r="H19" s="306"/>
      <c r="I19" s="351"/>
      <c r="J19" s="307"/>
      <c r="K19" s="347"/>
      <c r="L19" s="352"/>
      <c r="M19" s="347">
        <f>IF(NOT(ISERROR(MATCH(L19,_xlfn.ANCHORARRAY(G42),0))),K50&amp;"Por favor no seleccionar los criterios de impacto",L19)</f>
        <v>0</v>
      </c>
      <c r="N19" s="307"/>
      <c r="O19" s="347"/>
      <c r="P19" s="355"/>
      <c r="Q19" s="190">
        <v>6</v>
      </c>
      <c r="R19" s="191"/>
      <c r="S19" s="212" t="str">
        <f t="shared" si="1"/>
        <v/>
      </c>
      <c r="T19" s="213"/>
      <c r="U19" s="213"/>
      <c r="V19" s="214" t="str">
        <f t="shared" si="2"/>
        <v/>
      </c>
      <c r="W19" s="213"/>
      <c r="X19" s="213"/>
      <c r="Y19" s="213"/>
      <c r="Z19" s="215" t="str">
        <f t="shared" si="3"/>
        <v/>
      </c>
      <c r="AA19" s="196" t="str">
        <f t="shared" si="0"/>
        <v/>
      </c>
      <c r="AB19" s="217" t="str">
        <f t="shared" si="4"/>
        <v/>
      </c>
      <c r="AC19" s="216" t="str">
        <f t="shared" si="5"/>
        <v/>
      </c>
      <c r="AD19" s="217" t="str">
        <f t="shared" si="6"/>
        <v/>
      </c>
      <c r="AE19" s="218" t="str">
        <f t="shared" si="7"/>
        <v/>
      </c>
      <c r="AF19" s="219"/>
      <c r="AG19" s="201"/>
      <c r="AH19" s="220"/>
      <c r="AI19" s="200"/>
      <c r="AJ19" s="200"/>
      <c r="AK19" s="200"/>
      <c r="AL19" s="201"/>
      <c r="AM19" s="202"/>
      <c r="AN19" s="203"/>
      <c r="AO19" s="203"/>
      <c r="AP19" s="203"/>
      <c r="AQ19" s="203"/>
      <c r="AR19" s="203"/>
      <c r="AS19" s="203"/>
      <c r="AT19" s="203"/>
      <c r="AU19" s="203"/>
      <c r="AV19" s="203"/>
      <c r="AW19" s="203"/>
      <c r="AX19" s="203"/>
      <c r="AY19" s="203"/>
      <c r="AZ19" s="203"/>
      <c r="BA19" s="203"/>
      <c r="BB19" s="203"/>
      <c r="BC19" s="203"/>
      <c r="BD19" s="203"/>
      <c r="BE19" s="203"/>
      <c r="BF19" s="203"/>
      <c r="BG19" s="203"/>
      <c r="BH19" s="203"/>
      <c r="BI19" s="203"/>
      <c r="BJ19" s="203"/>
      <c r="BK19" s="203"/>
      <c r="BL19" s="203"/>
      <c r="BM19" s="203"/>
      <c r="BN19" s="203"/>
      <c r="BO19" s="203"/>
      <c r="BP19" s="203"/>
      <c r="BQ19" s="203"/>
      <c r="BR19" s="203"/>
      <c r="BS19" s="203"/>
    </row>
    <row r="20" spans="2:71" s="204" customFormat="1" ht="131.25" customHeight="1" x14ac:dyDescent="0.2">
      <c r="B20" s="314">
        <v>2</v>
      </c>
      <c r="C20" s="634" t="s">
        <v>354</v>
      </c>
      <c r="D20" s="635" t="s">
        <v>93</v>
      </c>
      <c r="E20" s="635" t="s">
        <v>337</v>
      </c>
      <c r="F20" s="635" t="s">
        <v>95</v>
      </c>
      <c r="G20" s="635" t="s">
        <v>338</v>
      </c>
      <c r="H20" s="635" t="s">
        <v>97</v>
      </c>
      <c r="I20" s="300">
        <v>3</v>
      </c>
      <c r="J20" s="303" t="str">
        <f>IF(I20&lt;=0,"",IF(I20&lt;=2,"Muy Baja",IF(I20&lt;=24,"Baja",IF(I20&lt;=500,"Media",IF(I20&lt;=5000,"Alta","Muy Alta")))))</f>
        <v>Baja</v>
      </c>
      <c r="K20" s="345">
        <f>IF(J20="","",IF(J20="Muy Baja",0.2,IF(J20="Baja",0.4,IF(J20="Media",0.6,IF(J20="Alta",0.8,IF(J20="Muy Alta",1,))))))</f>
        <v>0.4</v>
      </c>
      <c r="L20" s="332" t="s">
        <v>159</v>
      </c>
      <c r="M20" s="398" t="str">
        <f>IF(NOT(ISERROR(MATCH(L20,'[1]Tabla Impacto'!$B$225:$B$227,0))),'[1]Tabla Impacto'!$G$227&amp;"Por favor no seleccionar los criterios de impacto(Afectación Económica o presupuestal y Pérdida Reputacional)",L20)</f>
        <v xml:space="preserve">     El riesgo afecta la imagen de la entidad internamente, de conocimiento general, nivel interno, de junta dircetiva y accionistas y/o de provedores</v>
      </c>
      <c r="N20" s="303" t="str">
        <f>IF(OR(M20='[1]Tabla Impacto'!$C$15,M20='[1]Tabla Impacto'!$E$15),"Leve",IF(OR(M20='[1]Tabla Impacto'!$C$16,M20='[1]Tabla Impacto'!$E$16),"Menor",IF(OR(M20='[1]Tabla Impacto'!$C$17,M20='[1]Tabla Impacto'!$E$17),"Moderado",IF(OR(M20='[1]Tabla Impacto'!$C$18,M20='[1]Tabla Impacto'!$E$18),"Mayor",IF(OR(M20='[1]Tabla Impacto'!$C$19,M20='[1]Tabla Impacto'!$E$19),"Catastrófico","")))))</f>
        <v>Menor</v>
      </c>
      <c r="O20" s="345">
        <f t="shared" ref="O20" si="8">IF(N20="","",IF(N20="Leve",0.2,IF(N20="Menor",0.4,IF(N20="Moderado",0.6,IF(N20="Mayor",0.8,IF(N20="Catastrófico",1,))))))</f>
        <v>0.4</v>
      </c>
      <c r="P20" s="353" t="str">
        <f t="shared" ref="P20" si="9">IF(OR(AND(J20="Muy Baja",N20="Leve"),AND(J20="Muy Baja",N20="Menor"),AND(J20="Baja",N20="Leve")),"Bajo",IF(OR(AND(J20="Muy baja",N20="Moderado"),AND(J20="Baja",N20="Menor"),AND(J20="Baja",N20="Moderado"),AND(J20="Media",N20="Leve"),AND(J20="Media",N20="Menor"),AND(J20="Media",N20="Moderado"),AND(J20="Alta",N20="Leve"),AND(J20="Alta",N20="Menor")),"Moderado",IF(OR(AND(J20="Muy Baja",N20="Mayor"),AND(J20="Baja",N20="Mayor"),AND(J20="Media",N20="Mayor"),AND(J20="Alta",N20="Moderado"),AND(J20="Alta",N20="Mayor"),AND(J20="Muy Alta",N20="Leve"),AND(J20="Muy Alta",N20="Menor"),AND(J20="Muy Alta",N20="Moderado"),AND(J20="Muy Alta",N20="Mayor")),"Alto",IF(OR(AND(J20="Muy Baja",N20="Catastrófico"),AND(J20="Baja",N20="Catastrófico"),AND(J20="Media",N20="Catastrófico"),AND(J20="Alta",N20="Catastrófico"),AND(J20="Muy Alta",N20="Catastrófico")),"Extremo",""))))</f>
        <v>Moderado</v>
      </c>
      <c r="Q20" s="221">
        <v>1</v>
      </c>
      <c r="R20" s="191" t="s">
        <v>339</v>
      </c>
      <c r="S20" s="205" t="s">
        <v>110</v>
      </c>
      <c r="T20" s="206" t="s">
        <v>334</v>
      </c>
      <c r="U20" s="206" t="s">
        <v>101</v>
      </c>
      <c r="V20" s="207" t="str">
        <f t="shared" ref="V20" si="10">IF(AND(T20="Preventivo",U20="Automático"),"50%",IF(AND(T20="Preventivo",U20="Manual"),"40%",IF(AND(T20="Detectivo",U20="Automático"),"40%",IF(AND(T20="Detectivo",U20="Manual"),"30%",IF(AND(T20="Correctivo",U20="Automático"),"35%",IF(AND(T20="Correctivo",U20="Manual"),"25%",""))))))</f>
        <v>40%</v>
      </c>
      <c r="W20" s="206" t="s">
        <v>102</v>
      </c>
      <c r="X20" s="206" t="s">
        <v>103</v>
      </c>
      <c r="Y20" s="206" t="s">
        <v>104</v>
      </c>
      <c r="Z20" s="195">
        <f>IFERROR(IF(AND(S31="Probabilidad",S20="Probabilidad"),(AB31-(+AB31*V20)),IF(S20="Probabilidad",(K31-(+K31*V20)),IF(S20="Impacto",AB31,""))),"")</f>
        <v>0</v>
      </c>
      <c r="AA20" s="208" t="str">
        <f t="shared" ref="AA20" si="11">IFERROR(IF(Z20="","",IF(Z20&lt;=0.2,"Muy Baja",IF(Z20&lt;=0.4,"Baja",IF(Z20&lt;=0.6,"Media",IF(Z20&lt;=0.8,"Alta","Muy Alta"))))),"")</f>
        <v>Muy Baja</v>
      </c>
      <c r="AB20" s="194">
        <f t="shared" ref="AB20" si="12">+Z20</f>
        <v>0</v>
      </c>
      <c r="AC20" s="208" t="str">
        <f t="shared" ref="AC20" si="13">IFERROR(IF(AD20="","",IF(AD20&lt;=0.2,"Leve",IF(AD20&lt;=0.4,"Menor",IF(AD20&lt;=0.6,"Moderado",IF(AD20&lt;=0.8,"Mayor","Catastrófico"))))),"")</f>
        <v>Leve</v>
      </c>
      <c r="AD20" s="194">
        <f>IFERROR(IF(AND(S31="Impacto",S20="Impacto"),(AD31-(+AD31*V20)),IF(S20="Impacto",(O31-(+O31*V20)),IF(S20="Probabilidad",AD31,""))),"")</f>
        <v>0</v>
      </c>
      <c r="AE20" s="209" t="str">
        <f t="shared" ref="AE20" si="14">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Bajo</v>
      </c>
      <c r="AF20" s="193" t="s">
        <v>105</v>
      </c>
      <c r="AG20" s="198" t="s">
        <v>391</v>
      </c>
      <c r="AH20" s="198" t="s">
        <v>335</v>
      </c>
      <c r="AI20" s="199">
        <v>45686</v>
      </c>
      <c r="AJ20" s="199">
        <v>46006</v>
      </c>
      <c r="AK20" s="200"/>
      <c r="AL20" s="201"/>
      <c r="AM20" s="202"/>
      <c r="AN20" s="203"/>
      <c r="AO20" s="203"/>
      <c r="AP20" s="203"/>
      <c r="AQ20" s="203"/>
      <c r="AR20" s="203"/>
      <c r="AS20" s="203"/>
      <c r="AT20" s="203"/>
      <c r="AU20" s="203"/>
      <c r="AV20" s="203"/>
      <c r="AW20" s="203"/>
      <c r="AX20" s="203"/>
      <c r="AY20" s="203"/>
      <c r="AZ20" s="203"/>
      <c r="BA20" s="203"/>
      <c r="BB20" s="203"/>
      <c r="BC20" s="203"/>
      <c r="BD20" s="203"/>
      <c r="BE20" s="203"/>
      <c r="BF20" s="203"/>
      <c r="BG20" s="203"/>
      <c r="BH20" s="203"/>
      <c r="BI20" s="203"/>
      <c r="BJ20" s="203"/>
      <c r="BK20" s="203"/>
      <c r="BL20" s="203"/>
      <c r="BM20" s="203"/>
      <c r="BN20" s="203"/>
      <c r="BO20" s="203"/>
      <c r="BP20" s="203"/>
      <c r="BQ20" s="203"/>
      <c r="BR20" s="203"/>
      <c r="BS20" s="203"/>
    </row>
    <row r="21" spans="2:71" s="204" customFormat="1" ht="18" customHeight="1" x14ac:dyDescent="0.2">
      <c r="B21" s="315"/>
      <c r="C21" s="636"/>
      <c r="D21" s="637"/>
      <c r="E21" s="637"/>
      <c r="F21" s="637"/>
      <c r="G21" s="637"/>
      <c r="H21" s="637"/>
      <c r="I21" s="301"/>
      <c r="J21" s="304"/>
      <c r="K21" s="346"/>
      <c r="L21" s="333"/>
      <c r="M21" s="399">
        <f>IF(NOT(ISERROR(MATCH(L21,_xlfn.ANCHORARRAY(G68),0))),K70&amp;"Por favor no seleccionar los criterios de impacto",L21)</f>
        <v>0</v>
      </c>
      <c r="N21" s="304"/>
      <c r="O21" s="346"/>
      <c r="P21" s="354"/>
      <c r="Q21" s="221">
        <v>2</v>
      </c>
      <c r="R21" s="191"/>
      <c r="S21" s="212"/>
      <c r="T21" s="213"/>
      <c r="U21" s="213"/>
      <c r="V21" s="214"/>
      <c r="W21" s="213"/>
      <c r="X21" s="213"/>
      <c r="Y21" s="213"/>
      <c r="Z21" s="215"/>
      <c r="AA21" s="216"/>
      <c r="AB21" s="217"/>
      <c r="AC21" s="216"/>
      <c r="AD21" s="217"/>
      <c r="AE21" s="218"/>
      <c r="AF21" s="219"/>
      <c r="AG21" s="201"/>
      <c r="AH21" s="220"/>
      <c r="AI21" s="200"/>
      <c r="AJ21" s="200"/>
      <c r="AK21" s="200"/>
      <c r="AL21" s="201"/>
      <c r="AM21" s="202"/>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row>
    <row r="22" spans="2:71" s="204" customFormat="1" ht="18" customHeight="1" x14ac:dyDescent="0.2">
      <c r="B22" s="315"/>
      <c r="C22" s="636"/>
      <c r="D22" s="637"/>
      <c r="E22" s="637"/>
      <c r="F22" s="637"/>
      <c r="G22" s="637"/>
      <c r="H22" s="637"/>
      <c r="I22" s="301"/>
      <c r="J22" s="304"/>
      <c r="K22" s="346"/>
      <c r="L22" s="333"/>
      <c r="M22" s="399">
        <f>IF(NOT(ISERROR(MATCH(L22,_xlfn.ANCHORARRAY(G69),0))),K71&amp;"Por favor no seleccionar los criterios de impacto",L22)</f>
        <v>0</v>
      </c>
      <c r="N22" s="304"/>
      <c r="O22" s="346"/>
      <c r="P22" s="354"/>
      <c r="Q22" s="221">
        <v>3</v>
      </c>
      <c r="R22" s="210"/>
      <c r="S22" s="212"/>
      <c r="T22" s="213"/>
      <c r="U22" s="213"/>
      <c r="V22" s="214"/>
      <c r="W22" s="213"/>
      <c r="X22" s="213"/>
      <c r="Y22" s="213"/>
      <c r="Z22" s="215"/>
      <c r="AA22" s="216"/>
      <c r="AB22" s="217"/>
      <c r="AC22" s="216"/>
      <c r="AD22" s="217"/>
      <c r="AE22" s="218"/>
      <c r="AF22" s="219"/>
      <c r="AG22" s="201"/>
      <c r="AH22" s="220"/>
      <c r="AI22" s="200"/>
      <c r="AJ22" s="200"/>
      <c r="AK22" s="200"/>
      <c r="AL22" s="201"/>
      <c r="AM22" s="202"/>
      <c r="AN22" s="203"/>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3"/>
      <c r="BK22" s="203"/>
      <c r="BL22" s="203"/>
      <c r="BM22" s="203"/>
      <c r="BN22" s="203"/>
      <c r="BO22" s="203"/>
      <c r="BP22" s="203"/>
      <c r="BQ22" s="203"/>
      <c r="BR22" s="203"/>
      <c r="BS22" s="203"/>
    </row>
    <row r="23" spans="2:71" s="204" customFormat="1" ht="18" customHeight="1" x14ac:dyDescent="0.2">
      <c r="B23" s="315"/>
      <c r="C23" s="636"/>
      <c r="D23" s="637"/>
      <c r="E23" s="637"/>
      <c r="F23" s="637"/>
      <c r="G23" s="637"/>
      <c r="H23" s="637"/>
      <c r="I23" s="301"/>
      <c r="J23" s="304"/>
      <c r="K23" s="346"/>
      <c r="L23" s="333"/>
      <c r="M23" s="399">
        <f>IF(NOT(ISERROR(MATCH(L23,_xlfn.ANCHORARRAY(G70),0))),K72&amp;"Por favor no seleccionar los criterios de impacto",L23)</f>
        <v>0</v>
      </c>
      <c r="N23" s="304"/>
      <c r="O23" s="346"/>
      <c r="P23" s="354"/>
      <c r="Q23" s="221">
        <v>4</v>
      </c>
      <c r="R23" s="191"/>
      <c r="S23" s="212"/>
      <c r="T23" s="213"/>
      <c r="U23" s="213"/>
      <c r="V23" s="214"/>
      <c r="W23" s="213"/>
      <c r="X23" s="213"/>
      <c r="Y23" s="213"/>
      <c r="Z23" s="215"/>
      <c r="AA23" s="216"/>
      <c r="AB23" s="217"/>
      <c r="AC23" s="216"/>
      <c r="AD23" s="217"/>
      <c r="AE23" s="218"/>
      <c r="AF23" s="219"/>
      <c r="AG23" s="201"/>
      <c r="AH23" s="220"/>
      <c r="AI23" s="200"/>
      <c r="AJ23" s="200"/>
      <c r="AK23" s="200"/>
      <c r="AL23" s="201"/>
      <c r="AM23" s="202"/>
      <c r="AN23" s="203"/>
      <c r="AO23" s="203"/>
      <c r="AP23" s="203"/>
      <c r="AQ23" s="203"/>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row>
    <row r="24" spans="2:71" s="204" customFormat="1" ht="27.75" customHeight="1" x14ac:dyDescent="0.2">
      <c r="B24" s="315"/>
      <c r="C24" s="636"/>
      <c r="D24" s="637"/>
      <c r="E24" s="637"/>
      <c r="F24" s="637"/>
      <c r="G24" s="637"/>
      <c r="H24" s="637"/>
      <c r="I24" s="301"/>
      <c r="J24" s="304"/>
      <c r="K24" s="346"/>
      <c r="L24" s="333"/>
      <c r="M24" s="399">
        <f>IF(NOT(ISERROR(MATCH(L24,_xlfn.ANCHORARRAY(G71),0))),K73&amp;"Por favor no seleccionar los criterios de impacto",L24)</f>
        <v>0</v>
      </c>
      <c r="N24" s="304"/>
      <c r="O24" s="346"/>
      <c r="P24" s="354"/>
      <c r="Q24" s="221">
        <v>5</v>
      </c>
      <c r="R24" s="191"/>
      <c r="S24" s="212"/>
      <c r="T24" s="213"/>
      <c r="U24" s="213"/>
      <c r="V24" s="214"/>
      <c r="W24" s="213"/>
      <c r="X24" s="213"/>
      <c r="Y24" s="213"/>
      <c r="Z24" s="215"/>
      <c r="AA24" s="216"/>
      <c r="AB24" s="217"/>
      <c r="AC24" s="216"/>
      <c r="AD24" s="217"/>
      <c r="AE24" s="218"/>
      <c r="AF24" s="219"/>
      <c r="AG24" s="201"/>
      <c r="AH24" s="220"/>
      <c r="AI24" s="200"/>
      <c r="AJ24" s="200"/>
      <c r="AK24" s="200"/>
      <c r="AL24" s="201"/>
      <c r="AM24" s="202"/>
      <c r="AN24" s="203"/>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3"/>
      <c r="BR24" s="203"/>
      <c r="BS24" s="203"/>
    </row>
    <row r="25" spans="2:71" s="204" customFormat="1" ht="57.75" customHeight="1" x14ac:dyDescent="0.2">
      <c r="B25" s="316"/>
      <c r="C25" s="638"/>
      <c r="D25" s="639"/>
      <c r="E25" s="639"/>
      <c r="F25" s="639"/>
      <c r="G25" s="639"/>
      <c r="H25" s="639"/>
      <c r="I25" s="351"/>
      <c r="J25" s="307"/>
      <c r="K25" s="347"/>
      <c r="L25" s="352"/>
      <c r="M25" s="400">
        <f>IF(NOT(ISERROR(MATCH(L25,_xlfn.ANCHORARRAY(G72),0))),K74&amp;"Por favor no seleccionar los criterios de impacto",L25)</f>
        <v>0</v>
      </c>
      <c r="N25" s="307"/>
      <c r="O25" s="347"/>
      <c r="P25" s="355"/>
      <c r="Q25" s="221">
        <v>6</v>
      </c>
      <c r="R25" s="191"/>
      <c r="S25" s="212"/>
      <c r="T25" s="213"/>
      <c r="U25" s="213"/>
      <c r="V25" s="214"/>
      <c r="W25" s="213"/>
      <c r="X25" s="213"/>
      <c r="Y25" s="213"/>
      <c r="Z25" s="215"/>
      <c r="AA25" s="216"/>
      <c r="AB25" s="217"/>
      <c r="AC25" s="216"/>
      <c r="AD25" s="217"/>
      <c r="AE25" s="218"/>
      <c r="AF25" s="219"/>
      <c r="AG25" s="201"/>
      <c r="AH25" s="220"/>
      <c r="AI25" s="200"/>
      <c r="AJ25" s="200"/>
      <c r="AK25" s="200"/>
      <c r="AL25" s="201"/>
      <c r="AM25" s="202"/>
      <c r="AN25" s="203"/>
      <c r="AO25" s="203"/>
      <c r="AP25" s="203"/>
      <c r="AQ25" s="203"/>
      <c r="AR25" s="203"/>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row>
    <row r="26" spans="2:71" s="204" customFormat="1" ht="100.5" x14ac:dyDescent="0.2">
      <c r="B26" s="314">
        <v>3</v>
      </c>
      <c r="C26" s="308" t="s">
        <v>349</v>
      </c>
      <c r="D26" s="635" t="s">
        <v>93</v>
      </c>
      <c r="E26" s="635" t="s">
        <v>249</v>
      </c>
      <c r="F26" s="635" t="s">
        <v>95</v>
      </c>
      <c r="G26" s="635" t="s">
        <v>336</v>
      </c>
      <c r="H26" s="635" t="s">
        <v>97</v>
      </c>
      <c r="I26" s="300">
        <v>3</v>
      </c>
      <c r="J26" s="303" t="str">
        <f>IF(I26&lt;=0,"",IF(I26&lt;=2,"Muy Baja",IF(I26&lt;=24,"Baja",IF(I26&lt;=500,"Media",IF(I26&lt;=5000,"Alta","Muy Alta")))))</f>
        <v>Baja</v>
      </c>
      <c r="K26" s="345">
        <f>IF(J26="","",IF(J26="Muy Baja",0.2,IF(J26="Baja",0.4,IF(J26="Media",0.6,IF(J26="Alta",0.8,IF(J26="Muy Alta",1,))))))</f>
        <v>0.4</v>
      </c>
      <c r="L26" s="332" t="s">
        <v>159</v>
      </c>
      <c r="M26" s="345" t="str">
        <f>IF(NOT(ISERROR(MATCH(L26,'[1]Tabla Impacto'!$B$225:$B$227,0))),'[1]Tabla Impacto'!$G$227&amp;"Por favor no seleccionar los criterios de impacto(Afectación Económica o presupuestal y Pérdida Reputacional)",L26)</f>
        <v xml:space="preserve">     El riesgo afecta la imagen de la entidad internamente, de conocimiento general, nivel interno, de junta dircetiva y accionistas y/o de provedores</v>
      </c>
      <c r="N26" s="303" t="str">
        <f>IF(OR(M26='[1]Tabla Impacto'!$C$15,M26='[1]Tabla Impacto'!$E$15),"Leve",IF(OR(M26='[1]Tabla Impacto'!$C$16,M26='[1]Tabla Impacto'!$E$16),"Menor",IF(OR(M26='[1]Tabla Impacto'!$C$17,M26='[1]Tabla Impacto'!$E$17),"Moderado",IF(OR(M26='[1]Tabla Impacto'!$C$18,M26='[1]Tabla Impacto'!$E$18),"Mayor",IF(OR(M26='[1]Tabla Impacto'!$C$19,M26='[1]Tabla Impacto'!$E$19),"Catastrófico","")))))</f>
        <v>Menor</v>
      </c>
      <c r="O26" s="345">
        <f t="shared" ref="O26" si="15">IF(N26="","",IF(N26="Leve",0.2,IF(N26="Menor",0.4,IF(N26="Moderado",0.6,IF(N26="Mayor",0.8,IF(N26="Catastrófico",1,))))))</f>
        <v>0.4</v>
      </c>
      <c r="P26" s="353" t="str">
        <f t="shared" ref="P26" si="16">IF(OR(AND(J26="Muy Baja",N26="Leve"),AND(J26="Muy Baja",N26="Menor"),AND(J26="Baja",N26="Leve")),"Bajo",IF(OR(AND(J26="Muy baja",N26="Moderado"),AND(J26="Baja",N26="Menor"),AND(J26="Baja",N26="Moderado"),AND(J26="Media",N26="Leve"),AND(J26="Media",N26="Menor"),AND(J26="Media",N26="Moderado"),AND(J26="Alta",N26="Leve"),AND(J26="Alta",N26="Menor")),"Moderado",IF(OR(AND(J26="Muy Baja",N26="Mayor"),AND(J26="Baja",N26="Mayor"),AND(J26="Media",N26="Mayor"),AND(J26="Alta",N26="Moderado"),AND(J26="Alta",N26="Mayor"),AND(J26="Muy Alta",N26="Leve"),AND(J26="Muy Alta",N26="Menor"),AND(J26="Muy Alta",N26="Moderado"),AND(J26="Muy Alta",N26="Mayor")),"Alto",IF(OR(AND(J26="Muy Baja",N26="Catastrófico"),AND(J26="Baja",N26="Catastrófico"),AND(J26="Media",N26="Catastrófico"),AND(J26="Alta",N26="Catastrófico"),AND(J26="Muy Alta",N26="Catastrófico")),"Extremo",""))))</f>
        <v>Moderado</v>
      </c>
      <c r="Q26" s="190">
        <v>1</v>
      </c>
      <c r="R26" s="191" t="s">
        <v>339</v>
      </c>
      <c r="S26" s="205" t="s">
        <v>110</v>
      </c>
      <c r="T26" s="206" t="s">
        <v>334</v>
      </c>
      <c r="U26" s="206" t="s">
        <v>101</v>
      </c>
      <c r="V26" s="207" t="str">
        <f t="shared" ref="V26" si="17">IF(AND(T26="Preventivo",U26="Automático"),"50%",IF(AND(T26="Preventivo",U26="Manual"),"40%",IF(AND(T26="Detectivo",U26="Automático"),"40%",IF(AND(T26="Detectivo",U26="Manual"),"30%",IF(AND(T26="Correctivo",U26="Automático"),"35%",IF(AND(T26="Correctivo",U26="Manual"),"25%",""))))))</f>
        <v>40%</v>
      </c>
      <c r="W26" s="206" t="s">
        <v>102</v>
      </c>
      <c r="X26" s="206" t="s">
        <v>103</v>
      </c>
      <c r="Y26" s="206" t="s">
        <v>104</v>
      </c>
      <c r="Z26" s="195">
        <f>IFERROR(IF(AND(S61="Probabilidad",S26="Probabilidad"),(AB61-(+AB61*V26)),IF(S26="Probabilidad",(K61-(+K61*V26)),IF(S26="Impacto",AB61,""))),"")</f>
        <v>0</v>
      </c>
      <c r="AA26" s="208" t="str">
        <f t="shared" ref="AA26" si="18">IFERROR(IF(Z26="","",IF(Z26&lt;=0.2,"Muy Baja",IF(Z26&lt;=0.4,"Baja",IF(Z26&lt;=0.6,"Media",IF(Z26&lt;=0.8,"Alta","Muy Alta"))))),"")</f>
        <v>Muy Baja</v>
      </c>
      <c r="AB26" s="194">
        <f t="shared" ref="AB26" si="19">+Z26</f>
        <v>0</v>
      </c>
      <c r="AC26" s="208" t="str">
        <f t="shared" ref="AC26" si="20">IFERROR(IF(AD26="","",IF(AD26&lt;=0.2,"Leve",IF(AD26&lt;=0.4,"Menor",IF(AD26&lt;=0.6,"Moderado",IF(AD26&lt;=0.8,"Mayor","Catastrófico"))))),"")</f>
        <v>Leve</v>
      </c>
      <c r="AD26" s="194">
        <f>IFERROR(IF(AND(S61="Impacto",S26="Impacto"),(AD61-(+AD61*V26)),IF(S26="Impacto",(O61-(+O61*V26)),IF(S26="Probabilidad",AD61,""))),"")</f>
        <v>0</v>
      </c>
      <c r="AE26" s="209" t="str">
        <f t="shared" ref="AE26" si="21">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Bajo</v>
      </c>
      <c r="AF26" s="193" t="s">
        <v>105</v>
      </c>
      <c r="AG26" s="198" t="s">
        <v>391</v>
      </c>
      <c r="AH26" s="198" t="s">
        <v>335</v>
      </c>
      <c r="AI26" s="199">
        <v>45686</v>
      </c>
      <c r="AJ26" s="199">
        <v>46006</v>
      </c>
      <c r="AK26" s="200"/>
      <c r="AL26" s="201"/>
      <c r="AM26" s="202"/>
      <c r="AN26" s="203"/>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row>
    <row r="27" spans="2:71" s="204" customFormat="1" ht="18" customHeight="1" x14ac:dyDescent="0.2">
      <c r="B27" s="315"/>
      <c r="C27" s="309"/>
      <c r="D27" s="637"/>
      <c r="E27" s="637"/>
      <c r="F27" s="637"/>
      <c r="G27" s="637"/>
      <c r="H27" s="637"/>
      <c r="I27" s="301"/>
      <c r="J27" s="304"/>
      <c r="K27" s="346"/>
      <c r="L27" s="333"/>
      <c r="M27" s="346">
        <f>IF(NOT(ISERROR(MATCH(L27,_xlfn.ANCHORARRAY(G62),0))),K64&amp;"Por favor no seleccionar los criterios de impacto",L27)</f>
        <v>0</v>
      </c>
      <c r="N27" s="304"/>
      <c r="O27" s="346"/>
      <c r="P27" s="354"/>
      <c r="Q27" s="190">
        <v>2</v>
      </c>
      <c r="R27" s="191"/>
      <c r="S27" s="205"/>
      <c r="T27" s="206"/>
      <c r="U27" s="206"/>
      <c r="V27" s="207"/>
      <c r="W27" s="206"/>
      <c r="X27" s="206"/>
      <c r="Y27" s="206"/>
      <c r="Z27" s="195"/>
      <c r="AA27" s="208"/>
      <c r="AB27" s="194"/>
      <c r="AC27" s="208"/>
      <c r="AD27" s="194"/>
      <c r="AE27" s="209"/>
      <c r="AF27" s="193"/>
      <c r="AG27" s="201"/>
      <c r="AH27" s="220"/>
      <c r="AI27" s="200"/>
      <c r="AJ27" s="200"/>
      <c r="AK27" s="200"/>
      <c r="AL27" s="201"/>
      <c r="AM27" s="202"/>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row>
    <row r="28" spans="2:71" s="204" customFormat="1" ht="18" customHeight="1" x14ac:dyDescent="0.2">
      <c r="B28" s="315"/>
      <c r="C28" s="309"/>
      <c r="D28" s="637"/>
      <c r="E28" s="637"/>
      <c r="F28" s="637"/>
      <c r="G28" s="637"/>
      <c r="H28" s="637"/>
      <c r="I28" s="301"/>
      <c r="J28" s="304"/>
      <c r="K28" s="346"/>
      <c r="L28" s="333"/>
      <c r="M28" s="346">
        <f>IF(NOT(ISERROR(MATCH(L28,_xlfn.ANCHORARRAY(G63),0))),K65&amp;"Por favor no seleccionar los criterios de impacto",L28)</f>
        <v>0</v>
      </c>
      <c r="N28" s="304"/>
      <c r="O28" s="346"/>
      <c r="P28" s="354"/>
      <c r="Q28" s="190">
        <v>3</v>
      </c>
      <c r="R28" s="210"/>
      <c r="S28" s="212"/>
      <c r="T28" s="213"/>
      <c r="U28" s="213"/>
      <c r="V28" s="214"/>
      <c r="W28" s="213"/>
      <c r="X28" s="213"/>
      <c r="Y28" s="213"/>
      <c r="Z28" s="215"/>
      <c r="AA28" s="216"/>
      <c r="AB28" s="217"/>
      <c r="AC28" s="216"/>
      <c r="AD28" s="217"/>
      <c r="AE28" s="218"/>
      <c r="AF28" s="219"/>
      <c r="AG28" s="201"/>
      <c r="AH28" s="220"/>
      <c r="AI28" s="200"/>
      <c r="AJ28" s="200"/>
      <c r="AK28" s="200"/>
      <c r="AL28" s="201"/>
      <c r="AM28" s="202"/>
      <c r="AN28" s="203"/>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row>
    <row r="29" spans="2:71" s="204" customFormat="1" ht="18" customHeight="1" x14ac:dyDescent="0.2">
      <c r="B29" s="315"/>
      <c r="C29" s="309"/>
      <c r="D29" s="637"/>
      <c r="E29" s="637"/>
      <c r="F29" s="637"/>
      <c r="G29" s="637"/>
      <c r="H29" s="637"/>
      <c r="I29" s="301"/>
      <c r="J29" s="304"/>
      <c r="K29" s="346"/>
      <c r="L29" s="333"/>
      <c r="M29" s="346">
        <f>IF(NOT(ISERROR(MATCH(L29,_xlfn.ANCHORARRAY(G64),0))),K66&amp;"Por favor no seleccionar los criterios de impacto",L29)</f>
        <v>0</v>
      </c>
      <c r="N29" s="304"/>
      <c r="O29" s="346"/>
      <c r="P29" s="354"/>
      <c r="Q29" s="190">
        <v>4</v>
      </c>
      <c r="R29" s="191"/>
      <c r="S29" s="212"/>
      <c r="T29" s="213"/>
      <c r="U29" s="213"/>
      <c r="V29" s="214"/>
      <c r="W29" s="213"/>
      <c r="X29" s="213"/>
      <c r="Y29" s="213"/>
      <c r="Z29" s="215"/>
      <c r="AA29" s="216"/>
      <c r="AB29" s="217"/>
      <c r="AC29" s="216"/>
      <c r="AD29" s="217"/>
      <c r="AE29" s="218"/>
      <c r="AF29" s="219"/>
      <c r="AG29" s="201"/>
      <c r="AH29" s="220"/>
      <c r="AI29" s="200"/>
      <c r="AJ29" s="200"/>
      <c r="AK29" s="200"/>
      <c r="AL29" s="201"/>
      <c r="AM29" s="202"/>
      <c r="AN29" s="203"/>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row>
    <row r="30" spans="2:71" s="204" customFormat="1" ht="18" customHeight="1" x14ac:dyDescent="0.2">
      <c r="B30" s="315"/>
      <c r="C30" s="309"/>
      <c r="D30" s="637"/>
      <c r="E30" s="637"/>
      <c r="F30" s="637"/>
      <c r="G30" s="637"/>
      <c r="H30" s="637"/>
      <c r="I30" s="301"/>
      <c r="J30" s="304"/>
      <c r="K30" s="346"/>
      <c r="L30" s="333"/>
      <c r="M30" s="346">
        <f>IF(NOT(ISERROR(MATCH(L30,_xlfn.ANCHORARRAY(G65),0))),K67&amp;"Por favor no seleccionar los criterios de impacto",L30)</f>
        <v>0</v>
      </c>
      <c r="N30" s="304"/>
      <c r="O30" s="346"/>
      <c r="P30" s="354"/>
      <c r="Q30" s="190">
        <v>5</v>
      </c>
      <c r="R30" s="191"/>
      <c r="S30" s="212"/>
      <c r="T30" s="213"/>
      <c r="U30" s="213"/>
      <c r="V30" s="214"/>
      <c r="W30" s="213"/>
      <c r="X30" s="213"/>
      <c r="Y30" s="213"/>
      <c r="Z30" s="215"/>
      <c r="AA30" s="216"/>
      <c r="AB30" s="217"/>
      <c r="AC30" s="216"/>
      <c r="AD30" s="217"/>
      <c r="AE30" s="218"/>
      <c r="AF30" s="219"/>
      <c r="AG30" s="201"/>
      <c r="AH30" s="220"/>
      <c r="AI30" s="200"/>
      <c r="AJ30" s="200"/>
      <c r="AK30" s="200"/>
      <c r="AL30" s="201"/>
      <c r="AM30" s="202"/>
      <c r="AN30" s="203"/>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203"/>
    </row>
    <row r="31" spans="2:71" s="204" customFormat="1" ht="71.25" customHeight="1" x14ac:dyDescent="0.2">
      <c r="B31" s="316"/>
      <c r="C31" s="310"/>
      <c r="D31" s="639"/>
      <c r="E31" s="639"/>
      <c r="F31" s="639"/>
      <c r="G31" s="639"/>
      <c r="H31" s="639"/>
      <c r="I31" s="351"/>
      <c r="J31" s="307"/>
      <c r="K31" s="347"/>
      <c r="L31" s="352"/>
      <c r="M31" s="347">
        <f>IF(NOT(ISERROR(MATCH(L31,_xlfn.ANCHORARRAY(G66),0))),K68&amp;"Por favor no seleccionar los criterios de impacto",L31)</f>
        <v>0</v>
      </c>
      <c r="N31" s="307"/>
      <c r="O31" s="347"/>
      <c r="P31" s="355"/>
      <c r="Q31" s="190">
        <v>6</v>
      </c>
      <c r="R31" s="191"/>
      <c r="S31" s="212"/>
      <c r="T31" s="213"/>
      <c r="U31" s="213"/>
      <c r="V31" s="214"/>
      <c r="W31" s="213"/>
      <c r="X31" s="213"/>
      <c r="Y31" s="213"/>
      <c r="Z31" s="215"/>
      <c r="AA31" s="216"/>
      <c r="AB31" s="217"/>
      <c r="AC31" s="216"/>
      <c r="AD31" s="217"/>
      <c r="AE31" s="218"/>
      <c r="AF31" s="219"/>
      <c r="AG31" s="201"/>
      <c r="AH31" s="220"/>
      <c r="AI31" s="200"/>
      <c r="AJ31" s="200"/>
      <c r="AK31" s="200"/>
      <c r="AL31" s="201"/>
      <c r="AM31" s="202"/>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c r="BS31" s="203"/>
    </row>
    <row r="32" spans="2:71" s="204" customFormat="1" ht="153" customHeight="1" x14ac:dyDescent="0.2">
      <c r="B32" s="314">
        <v>4</v>
      </c>
      <c r="C32" s="308" t="s">
        <v>343</v>
      </c>
      <c r="D32" s="297" t="s">
        <v>93</v>
      </c>
      <c r="E32" s="297" t="s">
        <v>107</v>
      </c>
      <c r="F32" s="297" t="s">
        <v>400</v>
      </c>
      <c r="G32" s="297" t="s">
        <v>399</v>
      </c>
      <c r="H32" s="297" t="s">
        <v>97</v>
      </c>
      <c r="I32" s="300">
        <v>2</v>
      </c>
      <c r="J32" s="303" t="str">
        <f>IF(I32&lt;=0,"",IF(I32&lt;=2,"Muy Baja",IF(I32&lt;=24,"Baja",IF(I32&lt;=500,"Media",IF(I32&lt;=5000,"Alta","Muy Alta")))))</f>
        <v>Muy Baja</v>
      </c>
      <c r="K32" s="345">
        <f>IF(J32="","",IF(J32="Muy Baja",0.2,IF(J32="Baja",0.4,IF(J32="Media",0.6,IF(J32="Alta",0.8,IF(J32="Muy Alta",1,))))))</f>
        <v>0.2</v>
      </c>
      <c r="L32" s="332" t="s">
        <v>162</v>
      </c>
      <c r="M32" s="345" t="str">
        <f>IF(NOT(ISERROR(MATCH(L32,'Tabla Impacto'!$B$225:$B$227,0))),'Tabla Impacto'!$G$227&amp;"Por favor no seleccionar los criterios de impacto(Afectación Económica o presupuestal y Pérdida Reputacional)",L32)</f>
        <v xml:space="preserve">     El riesgo afecta la imagen de de la entidad con efecto publicitario sostenido a nivel de sector administrativo, nivel departamental o municipal</v>
      </c>
      <c r="N32" s="303" t="str">
        <f>IF(OR(M32='Tabla Impacto'!$C$15,M32='Tabla Impacto'!$E$15),"Leve",IF(OR(M32='Tabla Impacto'!$C$16,M32='Tabla Impacto'!$E$16),"Menor",IF(OR(M32='Tabla Impacto'!$C$17,M32='Tabla Impacto'!$E$17),"Moderado",IF(OR(M32='Tabla Impacto'!$C$18,M32='Tabla Impacto'!$E$18),"Mayor",IF(OR(M32='Tabla Impacto'!$C$19,M32='Tabla Impacto'!$E$19),"Catastrófico","")))))</f>
        <v>Mayor</v>
      </c>
      <c r="O32" s="345">
        <f>IF(N32="","",IF(N32="Leve",0.2,IF(N32="Menor",0.4,IF(N32="Moderado",0.6,IF(N32="Mayor",0.8,IF(N32="Catastrófico",1,))))))</f>
        <v>0.8</v>
      </c>
      <c r="P32" s="353" t="str">
        <f>IF(OR(AND(J32="Muy Baja",N32="Leve"),AND(J32="Muy Baja",N32="Menor"),AND(J32="Baja",N32="Leve")),"Bajo",IF(OR(AND(J32="Muy baja",N32="Moderado"),AND(J32="Baja",N32="Menor"),AND(J32="Baja",N32="Moderado"),AND(J32="Media",N32="Leve"),AND(J32="Media",N32="Menor"),AND(J32="Media",N32="Moderado"),AND(J32="Alta",N32="Leve"),AND(J32="Alta",N32="Menor")),"Moderado",IF(OR(AND(J32="Muy Baja",N32="Mayor"),AND(J32="Baja",N32="Mayor"),AND(J32="Media",N32="Mayor"),AND(J32="Alta",N32="Moderado"),AND(J32="Alta",N32="Mayor"),AND(J32="Muy Alta",N32="Leve"),AND(J32="Muy Alta",N32="Menor"),AND(J32="Muy Alta",N32="Moderado"),AND(J32="Muy Alta",N32="Mayor")),"Alto",IF(OR(AND(J32="Muy Baja",N32="Catastrófico"),AND(J32="Baja",N32="Catastrófico"),AND(J32="Media",N32="Catastrófico"),AND(J32="Alta",N32="Catastrófico"),AND(J32="Muy Alta",N32="Catastrófico")),"Extremo",""))))</f>
        <v>Alto</v>
      </c>
      <c r="Q32" s="190">
        <v>1</v>
      </c>
      <c r="R32" s="191" t="s">
        <v>387</v>
      </c>
      <c r="S32" s="192" t="str">
        <f>IF(OR(T32="Preventivo",T32="Detectivo"),"Probabilidad",IF(T32="Correctivo","Impacto",""))</f>
        <v>Probabilidad</v>
      </c>
      <c r="T32" s="193" t="s">
        <v>100</v>
      </c>
      <c r="U32" s="193" t="s">
        <v>101</v>
      </c>
      <c r="V32" s="194" t="str">
        <f>IF(AND(T32="Preventivo",U32="Automático"),"50%",IF(AND(T32="Preventivo",U32="Manual"),"40%",IF(AND(T32="Detectivo",U32="Automático"),"40%",IF(AND(T32="Detectivo",U32="Manual"),"30%",IF(AND(T32="Correctivo",U32="Automático"),"35%",IF(AND(T32="Correctivo",U32="Manual"),"25%",""))))))</f>
        <v>40%</v>
      </c>
      <c r="W32" s="193" t="s">
        <v>102</v>
      </c>
      <c r="X32" s="193" t="s">
        <v>103</v>
      </c>
      <c r="Y32" s="193" t="s">
        <v>104</v>
      </c>
      <c r="Z32" s="195">
        <f>IFERROR(IF(S32="Probabilidad",(K32-(+K32*V32)),IF(S32="Impacto",K32,"")),"")</f>
        <v>0.12</v>
      </c>
      <c r="AA32" s="196" t="str">
        <f>IFERROR(IF(Z32="","",IF(Z32&lt;=0.2,"Muy Baja",IF(Z32&lt;=0.4,"Baja",IF(Z32&lt;=0.6,"Media",IF(Z32&lt;=0.8,"Alta","Muy Alta"))))),"")</f>
        <v>Muy Baja</v>
      </c>
      <c r="AB32" s="194">
        <f>+Z32</f>
        <v>0.12</v>
      </c>
      <c r="AC32" s="196" t="str">
        <f>IFERROR(IF(AD32="","",IF(AD32&lt;=0.2,"Leve",IF(AD32&lt;=0.4,"Menor",IF(AD32&lt;=0.6,"Moderado",IF(AD32&lt;=0.8,"Mayor","Catastrófico"))))),"")</f>
        <v>Mayor</v>
      </c>
      <c r="AD32" s="194">
        <f>IFERROR(IF(S32="Impacto",(O32-(+O32*V32)),IF(S32="Probabilidad",O32,"")),"")</f>
        <v>0.8</v>
      </c>
      <c r="AE32" s="197" t="str">
        <f>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Alto</v>
      </c>
      <c r="AF32" s="193" t="s">
        <v>105</v>
      </c>
      <c r="AG32" s="255" t="s">
        <v>344</v>
      </c>
      <c r="AH32" s="198" t="s">
        <v>108</v>
      </c>
      <c r="AI32" s="199">
        <v>45686</v>
      </c>
      <c r="AJ32" s="199">
        <v>46006</v>
      </c>
      <c r="AK32" s="200"/>
      <c r="AL32" s="201"/>
      <c r="AM32" s="202"/>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c r="BS32" s="203"/>
    </row>
    <row r="33" spans="2:71" s="204" customFormat="1" ht="18" customHeight="1" x14ac:dyDescent="0.2">
      <c r="B33" s="315"/>
      <c r="C33" s="309"/>
      <c r="D33" s="298"/>
      <c r="E33" s="298"/>
      <c r="F33" s="298"/>
      <c r="G33" s="298"/>
      <c r="H33" s="298"/>
      <c r="I33" s="301"/>
      <c r="J33" s="304"/>
      <c r="K33" s="346"/>
      <c r="L33" s="333"/>
      <c r="M33" s="346">
        <f>IF(NOT(ISERROR(MATCH(L33,_xlfn.ANCHORARRAY(G50),0))),K52&amp;"Por favor no seleccionar los criterios de impacto",L33)</f>
        <v>0</v>
      </c>
      <c r="N33" s="304"/>
      <c r="O33" s="346"/>
      <c r="P33" s="354"/>
      <c r="Q33" s="190">
        <v>2</v>
      </c>
      <c r="R33" s="191"/>
      <c r="S33" s="205" t="str">
        <f>IF(OR(T33="Preventivo",T33="Detectivo"),"Probabilidad",IF(T33="Correctivo","Impacto",""))</f>
        <v/>
      </c>
      <c r="T33" s="206"/>
      <c r="U33" s="206"/>
      <c r="V33" s="207" t="str">
        <f t="shared" ref="V33:V37" si="22">IF(AND(T33="Preventivo",U33="Automático"),"50%",IF(AND(T33="Preventivo",U33="Manual"),"40%",IF(AND(T33="Detectivo",U33="Automático"),"40%",IF(AND(T33="Detectivo",U33="Manual"),"30%",IF(AND(T33="Correctivo",U33="Automático"),"35%",IF(AND(T33="Correctivo",U33="Manual"),"25%",""))))))</f>
        <v/>
      </c>
      <c r="W33" s="206"/>
      <c r="X33" s="206"/>
      <c r="Y33" s="206"/>
      <c r="Z33" s="195" t="str">
        <f>IFERROR(IF(AND(S32="Probabilidad",S33="Probabilidad"),(AB32-(+AB32*V33)),IF(S33="Probabilidad",(K32-(+K32*V33)),IF(S33="Impacto",AB32,""))),"")</f>
        <v/>
      </c>
      <c r="AA33" s="208" t="str">
        <f t="shared" ref="AA33:AA37" si="23">IFERROR(IF(Z33="","",IF(Z33&lt;=0.2,"Muy Baja",IF(Z33&lt;=0.4,"Baja",IF(Z33&lt;=0.6,"Media",IF(Z33&lt;=0.8,"Alta","Muy Alta"))))),"")</f>
        <v/>
      </c>
      <c r="AB33" s="194" t="str">
        <f t="shared" ref="AB33:AB37" si="24">+Z33</f>
        <v/>
      </c>
      <c r="AC33" s="208" t="str">
        <f t="shared" si="5"/>
        <v/>
      </c>
      <c r="AD33" s="194" t="str">
        <f>IFERROR(IF(AND(S32="Impacto",S33="Impacto"),(AD32-(+AD32*V33)),IF(S33="Impacto",(O32-(+O32*V33)),IF(S33="Probabilidad",AD32,""))),"")</f>
        <v/>
      </c>
      <c r="AE33" s="209" t="str">
        <f t="shared" ref="AE33:AE34" si="25">IFERROR(IF(OR(AND(AA33="Muy Baja",AC33="Leve"),AND(AA33="Muy Baja",AC33="Menor"),AND(AA33="Baja",AC33="Leve")),"Bajo",IF(OR(AND(AA33="Muy baja",AC33="Moderado"),AND(AA33="Baja",AC33="Menor"),AND(AA33="Baja",AC33="Moderado"),AND(AA33="Media",AC33="Leve"),AND(AA33="Media",AC33="Menor"),AND(AA33="Media",AC33="Moderado"),AND(AA33="Alta",AC33="Leve"),AND(AA33="Alta",AC33="Menor")),"Moderado",IF(OR(AND(AA33="Muy Baja",AC33="Mayor"),AND(AA33="Baja",AC33="Mayor"),AND(AA33="Media",AC33="Mayor"),AND(AA33="Alta",AC33="Moderado"),AND(AA33="Alta",AC33="Mayor"),AND(AA33="Muy Alta",AC33="Leve"),AND(AA33="Muy Alta",AC33="Menor"),AND(AA33="Muy Alta",AC33="Moderado"),AND(AA33="Muy Alta",AC33="Mayor")),"Alto",IF(OR(AND(AA33="Muy Baja",AC33="Catastrófico"),AND(AA33="Baja",AC33="Catastrófico"),AND(AA33="Media",AC33="Catastrófico"),AND(AA33="Alta",AC33="Catastrófico"),AND(AA33="Muy Alta",AC33="Catastrófico")),"Extremo","")))),"")</f>
        <v/>
      </c>
      <c r="AF33" s="193"/>
      <c r="AG33" s="198"/>
      <c r="AH33" s="198"/>
      <c r="AI33" s="199"/>
      <c r="AJ33" s="199"/>
      <c r="AK33" s="200"/>
      <c r="AL33" s="201"/>
      <c r="AM33" s="202"/>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c r="BS33" s="203"/>
    </row>
    <row r="34" spans="2:71" s="204" customFormat="1" ht="18" customHeight="1" x14ac:dyDescent="0.2">
      <c r="B34" s="315"/>
      <c r="C34" s="309"/>
      <c r="D34" s="298"/>
      <c r="E34" s="298"/>
      <c r="F34" s="298"/>
      <c r="G34" s="298"/>
      <c r="H34" s="298"/>
      <c r="I34" s="301"/>
      <c r="J34" s="304"/>
      <c r="K34" s="346"/>
      <c r="L34" s="333"/>
      <c r="M34" s="346">
        <f>IF(NOT(ISERROR(MATCH(L34,_xlfn.ANCHORARRAY(G51),0))),K53&amp;"Por favor no seleccionar los criterios de impacto",L34)</f>
        <v>0</v>
      </c>
      <c r="N34" s="304"/>
      <c r="O34" s="346"/>
      <c r="P34" s="354"/>
      <c r="Q34" s="190">
        <v>3</v>
      </c>
      <c r="R34" s="210"/>
      <c r="S34" s="205" t="str">
        <f>IF(OR(T34="Preventivo",T34="Detectivo"),"Probabilidad",IF(T34="Correctivo","Impacto",""))</f>
        <v/>
      </c>
      <c r="T34" s="206"/>
      <c r="U34" s="206"/>
      <c r="V34" s="207" t="str">
        <f t="shared" si="22"/>
        <v/>
      </c>
      <c r="W34" s="206"/>
      <c r="X34" s="206"/>
      <c r="Y34" s="206"/>
      <c r="Z34" s="195" t="str">
        <f>IFERROR(IF(AND(S33="Probabilidad",S34="Probabilidad"),(AB33-(+AB33*V34)),IF(AND(S33="Impacto",S34="Probabilidad"),(AB32-(+AB32*V34)),IF(S34="Impacto",AB33,""))),"")</f>
        <v/>
      </c>
      <c r="AA34" s="208" t="str">
        <f t="shared" si="23"/>
        <v/>
      </c>
      <c r="AB34" s="194" t="str">
        <f t="shared" si="24"/>
        <v/>
      </c>
      <c r="AC34" s="208" t="str">
        <f t="shared" si="5"/>
        <v/>
      </c>
      <c r="AD34" s="194" t="str">
        <f>IFERROR(IF(AND(S33="Impacto",S34="Impacto"),(AD33-(+AD33*V34)),IF(AND(S33="Probabilidad",S34="Impacto"),(AD32-(+AD32*V34)),IF(S34="Probabilidad",AD33,""))),"")</f>
        <v/>
      </c>
      <c r="AE34" s="209" t="str">
        <f t="shared" si="25"/>
        <v/>
      </c>
      <c r="AF34" s="193"/>
      <c r="AG34" s="198"/>
      <c r="AH34" s="211"/>
      <c r="AI34" s="199"/>
      <c r="AJ34" s="199"/>
      <c r="AK34" s="200"/>
      <c r="AL34" s="201"/>
      <c r="AM34" s="202"/>
      <c r="AN34" s="203"/>
      <c r="AO34" s="203"/>
      <c r="AP34" s="203"/>
      <c r="AQ34" s="203"/>
      <c r="AR34" s="203"/>
      <c r="AS34" s="203"/>
      <c r="AT34" s="203"/>
      <c r="AU34" s="203"/>
      <c r="AV34" s="203"/>
      <c r="AW34" s="203"/>
      <c r="AX34" s="203"/>
      <c r="AY34" s="203"/>
      <c r="AZ34" s="203"/>
      <c r="BA34" s="203"/>
      <c r="BB34" s="203"/>
      <c r="BC34" s="203"/>
      <c r="BD34" s="203"/>
      <c r="BE34" s="203"/>
      <c r="BF34" s="203"/>
      <c r="BG34" s="203"/>
      <c r="BH34" s="203"/>
      <c r="BI34" s="203"/>
      <c r="BJ34" s="203"/>
      <c r="BK34" s="203"/>
      <c r="BL34" s="203"/>
      <c r="BM34" s="203"/>
      <c r="BN34" s="203"/>
      <c r="BO34" s="203"/>
      <c r="BP34" s="203"/>
      <c r="BQ34" s="203"/>
      <c r="BR34" s="203"/>
      <c r="BS34" s="203"/>
    </row>
    <row r="35" spans="2:71" s="204" customFormat="1" ht="18" customHeight="1" x14ac:dyDescent="0.2">
      <c r="B35" s="315"/>
      <c r="C35" s="309"/>
      <c r="D35" s="298"/>
      <c r="E35" s="298"/>
      <c r="F35" s="298"/>
      <c r="G35" s="298"/>
      <c r="H35" s="298"/>
      <c r="I35" s="301"/>
      <c r="J35" s="304"/>
      <c r="K35" s="346"/>
      <c r="L35" s="333"/>
      <c r="M35" s="346">
        <f>IF(NOT(ISERROR(MATCH(L35,_xlfn.ANCHORARRAY(G52),0))),K54&amp;"Por favor no seleccionar los criterios de impacto",L35)</f>
        <v>0</v>
      </c>
      <c r="N35" s="304"/>
      <c r="O35" s="346"/>
      <c r="P35" s="354"/>
      <c r="Q35" s="190">
        <v>4</v>
      </c>
      <c r="R35" s="191"/>
      <c r="S35" s="212" t="str">
        <f t="shared" ref="S35:S37" si="26">IF(OR(T35="Preventivo",T35="Detectivo"),"Probabilidad",IF(T35="Correctivo","Impacto",""))</f>
        <v/>
      </c>
      <c r="T35" s="213"/>
      <c r="U35" s="213"/>
      <c r="V35" s="214" t="str">
        <f t="shared" si="22"/>
        <v/>
      </c>
      <c r="W35" s="213"/>
      <c r="X35" s="213"/>
      <c r="Y35" s="213"/>
      <c r="Z35" s="215" t="str">
        <f t="shared" ref="Z35:Z37" si="27">IFERROR(IF(AND(S34="Probabilidad",S35="Probabilidad"),(AB34-(+AB34*V35)),IF(AND(S34="Impacto",S35="Probabilidad"),(AB33-(+AB33*V35)),IF(S35="Impacto",AB34,""))),"")</f>
        <v/>
      </c>
      <c r="AA35" s="216" t="str">
        <f t="shared" si="23"/>
        <v/>
      </c>
      <c r="AB35" s="217" t="str">
        <f t="shared" si="24"/>
        <v/>
      </c>
      <c r="AC35" s="216" t="str">
        <f t="shared" si="5"/>
        <v/>
      </c>
      <c r="AD35" s="217" t="str">
        <f t="shared" ref="AD35:AD37" si="28">IFERROR(IF(AND(S34="Impacto",S35="Impacto"),(AD34-(+AD34*V35)),IF(AND(S34="Probabilidad",S35="Impacto"),(AD33-(+AD33*V35)),IF(S35="Probabilidad",AD34,""))),"")</f>
        <v/>
      </c>
      <c r="AE35" s="218" t="str">
        <f>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219"/>
      <c r="AG35" s="201"/>
      <c r="AH35" s="220"/>
      <c r="AI35" s="200"/>
      <c r="AJ35" s="200"/>
      <c r="AK35" s="200"/>
      <c r="AL35" s="201"/>
      <c r="AM35" s="202"/>
      <c r="AN35" s="203"/>
      <c r="AO35" s="203"/>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3"/>
      <c r="BQ35" s="203"/>
      <c r="BR35" s="203"/>
      <c r="BS35" s="203"/>
    </row>
    <row r="36" spans="2:71" s="204" customFormat="1" ht="18" customHeight="1" x14ac:dyDescent="0.2">
      <c r="B36" s="315"/>
      <c r="C36" s="309"/>
      <c r="D36" s="298"/>
      <c r="E36" s="298"/>
      <c r="F36" s="298"/>
      <c r="G36" s="298"/>
      <c r="H36" s="298"/>
      <c r="I36" s="301"/>
      <c r="J36" s="304"/>
      <c r="K36" s="346"/>
      <c r="L36" s="333"/>
      <c r="M36" s="346">
        <f>IF(NOT(ISERROR(MATCH(L36,_xlfn.ANCHORARRAY(G53),0))),K55&amp;"Por favor no seleccionar los criterios de impacto",L36)</f>
        <v>0</v>
      </c>
      <c r="N36" s="304"/>
      <c r="O36" s="346"/>
      <c r="P36" s="354"/>
      <c r="Q36" s="190">
        <v>5</v>
      </c>
      <c r="R36" s="191"/>
      <c r="S36" s="212" t="str">
        <f t="shared" si="26"/>
        <v/>
      </c>
      <c r="T36" s="213"/>
      <c r="U36" s="213"/>
      <c r="V36" s="214" t="str">
        <f t="shared" si="22"/>
        <v/>
      </c>
      <c r="W36" s="213"/>
      <c r="X36" s="213"/>
      <c r="Y36" s="213"/>
      <c r="Z36" s="215" t="str">
        <f t="shared" si="27"/>
        <v/>
      </c>
      <c r="AA36" s="216" t="str">
        <f t="shared" si="23"/>
        <v/>
      </c>
      <c r="AB36" s="217" t="str">
        <f t="shared" si="24"/>
        <v/>
      </c>
      <c r="AC36" s="216" t="str">
        <f t="shared" si="5"/>
        <v/>
      </c>
      <c r="AD36" s="217" t="str">
        <f t="shared" si="28"/>
        <v/>
      </c>
      <c r="AE36" s="218" t="str">
        <f t="shared" ref="AE36:AE37" si="29">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219"/>
      <c r="AG36" s="201"/>
      <c r="AH36" s="220"/>
      <c r="AI36" s="200"/>
      <c r="AJ36" s="200"/>
      <c r="AK36" s="200"/>
      <c r="AL36" s="201"/>
      <c r="AM36" s="202"/>
      <c r="AN36" s="203"/>
      <c r="AO36" s="203"/>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3"/>
      <c r="BQ36" s="203"/>
      <c r="BR36" s="203"/>
      <c r="BS36" s="203"/>
    </row>
    <row r="37" spans="2:71" s="204" customFormat="1" ht="18" customHeight="1" x14ac:dyDescent="0.2">
      <c r="B37" s="316"/>
      <c r="C37" s="310"/>
      <c r="D37" s="306"/>
      <c r="E37" s="306"/>
      <c r="F37" s="306"/>
      <c r="G37" s="306"/>
      <c r="H37" s="306"/>
      <c r="I37" s="351"/>
      <c r="J37" s="307"/>
      <c r="K37" s="347"/>
      <c r="L37" s="352"/>
      <c r="M37" s="347">
        <f>IF(NOT(ISERROR(MATCH(L37,_xlfn.ANCHORARRAY(G54),0))),#REF!&amp;"Por favor no seleccionar los criterios de impacto",L37)</f>
        <v>0</v>
      </c>
      <c r="N37" s="307"/>
      <c r="O37" s="347"/>
      <c r="P37" s="355"/>
      <c r="Q37" s="190">
        <v>6</v>
      </c>
      <c r="R37" s="191"/>
      <c r="S37" s="212" t="str">
        <f t="shared" si="26"/>
        <v/>
      </c>
      <c r="T37" s="213"/>
      <c r="U37" s="213"/>
      <c r="V37" s="214" t="str">
        <f t="shared" si="22"/>
        <v/>
      </c>
      <c r="W37" s="213"/>
      <c r="X37" s="213"/>
      <c r="Y37" s="213"/>
      <c r="Z37" s="215" t="str">
        <f t="shared" si="27"/>
        <v/>
      </c>
      <c r="AA37" s="216" t="str">
        <f t="shared" si="23"/>
        <v/>
      </c>
      <c r="AB37" s="217" t="str">
        <f t="shared" si="24"/>
        <v/>
      </c>
      <c r="AC37" s="216" t="str">
        <f t="shared" si="5"/>
        <v/>
      </c>
      <c r="AD37" s="217" t="str">
        <f t="shared" si="28"/>
        <v/>
      </c>
      <c r="AE37" s="218" t="str">
        <f t="shared" si="29"/>
        <v/>
      </c>
      <c r="AF37" s="219"/>
      <c r="AG37" s="201"/>
      <c r="AH37" s="220"/>
      <c r="AI37" s="200"/>
      <c r="AJ37" s="200"/>
      <c r="AK37" s="200"/>
      <c r="AL37" s="201"/>
      <c r="AM37" s="202"/>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3"/>
      <c r="BQ37" s="203"/>
      <c r="BR37" s="203"/>
      <c r="BS37" s="203"/>
    </row>
    <row r="38" spans="2:71" s="204" customFormat="1" ht="147" customHeight="1" x14ac:dyDescent="0.2">
      <c r="B38" s="314">
        <v>5</v>
      </c>
      <c r="C38" s="308" t="s">
        <v>328</v>
      </c>
      <c r="D38" s="297" t="s">
        <v>93</v>
      </c>
      <c r="E38" s="297" t="s">
        <v>325</v>
      </c>
      <c r="F38" s="297" t="s">
        <v>326</v>
      </c>
      <c r="G38" s="297" t="s">
        <v>327</v>
      </c>
      <c r="H38" s="297" t="s">
        <v>313</v>
      </c>
      <c r="I38" s="300">
        <v>2</v>
      </c>
      <c r="J38" s="303" t="str">
        <f>IF(I38&lt;=0,"",IF(I38&lt;=2,"Muy Baja",IF(I38&lt;=24,"Baja",IF(I38&lt;=500,"Media",IF(I38&lt;=5000,"Alta","Muy Alta")))))</f>
        <v>Muy Baja</v>
      </c>
      <c r="K38" s="345">
        <f>IF(J38="","",IF(J38="Muy Baja",0.2,IF(J38="Baja",0.4,IF(J38="Media",0.6,IF(J38="Alta",0.8,IF(J38="Muy Alta",1,))))))</f>
        <v>0.2</v>
      </c>
      <c r="L38" s="332" t="s">
        <v>156</v>
      </c>
      <c r="M38" s="345" t="str">
        <f>IF(NOT(ISERROR(MATCH(L38,'[2]Tabla Impacto'!$B$225:$B$227,0))),'[2]Tabla Impacto'!$G$227&amp;"Por favor no seleccionar los criterios de impacto(Afectación Económica o presupuestal y Pérdida Reputacional)",L38)</f>
        <v xml:space="preserve">     El riesgo afecta la imagen de alguna área de la organización</v>
      </c>
      <c r="N38" s="303" t="str">
        <f>IF(OR(M38='[2]Tabla Impacto'!$C$15,M38='[2]Tabla Impacto'!$E$15),"Leve",IF(OR(M38='[2]Tabla Impacto'!$C$16,M38='[2]Tabla Impacto'!$E$16),"Menor",IF(OR(M38='[2]Tabla Impacto'!$C$17,M38='[2]Tabla Impacto'!$E$17),"Moderado",IF(OR(M38='[2]Tabla Impacto'!$C$18,M38='[2]Tabla Impacto'!$E$18),"Mayor",IF(OR(M38='[2]Tabla Impacto'!$C$19,M38='[2]Tabla Impacto'!$E$19),"Catastrófico","")))))</f>
        <v>Leve</v>
      </c>
      <c r="O38" s="345">
        <f>IF(N38="","",IF(N38="Leve",0.2,IF(N38="Menor",0.4,IF(N38="Moderado",0.6,IF(N38="Mayor",0.8,IF(N38="Catastrófico",1,))))))</f>
        <v>0.2</v>
      </c>
      <c r="P38" s="353" t="str">
        <f>IF(OR(AND(J38="Muy Baja",N38="Leve"),AND(J38="Muy Baja",N38="Menor"),AND(J38="Baja",N38="Leve")),"Bajo",IF(OR(AND(J38="Muy baja",N38="Moderado"),AND(J38="Baja",N38="Menor"),AND(J38="Baja",N38="Moderado"),AND(J38="Media",N38="Leve"),AND(J38="Media",N38="Menor"),AND(J38="Media",N38="Moderado"),AND(J38="Alta",N38="Leve"),AND(J38="Alta",N38="Menor")),"Moderado",IF(OR(AND(J38="Muy Baja",N38="Mayor"),AND(J38="Baja",N38="Mayor"),AND(J38="Media",N38="Mayor"),AND(J38="Alta",N38="Moderado"),AND(J38="Alta",N38="Mayor"),AND(J38="Muy Alta",N38="Leve"),AND(J38="Muy Alta",N38="Menor"),AND(J38="Muy Alta",N38="Moderado"),AND(J38="Muy Alta",N38="Mayor")),"Alto",IF(OR(AND(J38="Muy Baja",N38="Catastrófico"),AND(J38="Baja",N38="Catastrófico"),AND(J38="Media",N38="Catastrófico"),AND(J38="Alta",N38="Catastrófico"),AND(J38="Muy Alta",N38="Catastrófico")),"Extremo",""))))</f>
        <v>Bajo</v>
      </c>
      <c r="Q38" s="221">
        <v>1</v>
      </c>
      <c r="R38" s="222" t="s">
        <v>392</v>
      </c>
      <c r="S38" s="223" t="str">
        <f>IF(OR(T38="Preventivo",T38="Detectivo"),"Probabilidad",IF(T38="Correctivo","Impacto",""))</f>
        <v>Probabilidad</v>
      </c>
      <c r="T38" s="224" t="s">
        <v>100</v>
      </c>
      <c r="U38" s="224" t="s">
        <v>101</v>
      </c>
      <c r="V38" s="225" t="str">
        <f>IF(AND(T38="Preventivo",U38="Automático"),"50%",IF(AND(T38="Preventivo",U38="Manual"),"40%",IF(AND(T38="Detectivo",U38="Automático"),"40%",IF(AND(T38="Detectivo",U38="Manual"),"30%",IF(AND(T38="Correctivo",U38="Automático"),"35%",IF(AND(T38="Correctivo",U38="Manual"),"25%",""))))))</f>
        <v>40%</v>
      </c>
      <c r="W38" s="224" t="s">
        <v>102</v>
      </c>
      <c r="X38" s="224" t="s">
        <v>103</v>
      </c>
      <c r="Y38" s="224" t="s">
        <v>104</v>
      </c>
      <c r="Z38" s="195">
        <f>IFERROR(IF(S38="Probabilidad",(K38-(+K38*V38)),IF(S38="Impacto",K38,"")),"")</f>
        <v>0.12</v>
      </c>
      <c r="AA38" s="226" t="str">
        <f>IFERROR(IF(Z38="","",IF(Z38&lt;=0.2,"Muy Baja",IF(Z38&lt;=0.4,"Baja",IF(Z38&lt;=0.6,"Media",IF(Z38&lt;=0.8,"Alta","Muy Alta"))))),"")</f>
        <v>Muy Baja</v>
      </c>
      <c r="AB38" s="225">
        <f>+Z38</f>
        <v>0.12</v>
      </c>
      <c r="AC38" s="226" t="str">
        <f t="shared" si="5"/>
        <v>Leve</v>
      </c>
      <c r="AD38" s="225">
        <f>IFERROR(IF(S38="Impacto",(O38-(+O38*V38)),IF(S38="Probabilidad",O38,"")),"")</f>
        <v>0.2</v>
      </c>
      <c r="AE38" s="227" t="str">
        <f>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Bajo</v>
      </c>
      <c r="AF38" s="224" t="s">
        <v>105</v>
      </c>
      <c r="AG38" s="198" t="s">
        <v>393</v>
      </c>
      <c r="AH38" s="198" t="s">
        <v>345</v>
      </c>
      <c r="AI38" s="199">
        <v>45686</v>
      </c>
      <c r="AJ38" s="199">
        <v>46006</v>
      </c>
      <c r="AK38" s="199"/>
      <c r="AL38" s="201"/>
      <c r="AM38" s="228"/>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203"/>
      <c r="BR38" s="203"/>
      <c r="BS38" s="203"/>
    </row>
    <row r="39" spans="2:71" s="204" customFormat="1" ht="128.25" customHeight="1" x14ac:dyDescent="0.2">
      <c r="B39" s="315"/>
      <c r="C39" s="309"/>
      <c r="D39" s="298"/>
      <c r="E39" s="298"/>
      <c r="F39" s="298"/>
      <c r="G39" s="298"/>
      <c r="H39" s="298"/>
      <c r="I39" s="301"/>
      <c r="J39" s="304"/>
      <c r="K39" s="346"/>
      <c r="L39" s="333"/>
      <c r="M39" s="346">
        <f>IF(NOT(ISERROR(MATCH(L39,_xlfn.ANCHORARRAY(G56),0))),K58&amp;"Por favor no seleccionar los criterios de impacto",L39)</f>
        <v>0</v>
      </c>
      <c r="N39" s="304"/>
      <c r="O39" s="346"/>
      <c r="P39" s="354"/>
      <c r="Q39" s="221">
        <v>2</v>
      </c>
      <c r="R39" s="229"/>
      <c r="S39" s="230"/>
      <c r="T39" s="231"/>
      <c r="U39" s="231"/>
      <c r="V39" s="232"/>
      <c r="W39" s="231"/>
      <c r="X39" s="231"/>
      <c r="Y39" s="231"/>
      <c r="Z39" s="195" t="str">
        <f>IFERROR(IF(AND(S38="Probabilidad",S39="Probabilidad"),(AB38-(+AB38*V39)),IF(S39="Probabilidad",(K38-(+K38*V39)),IF(S39="Impacto",AB38,""))),"")</f>
        <v/>
      </c>
      <c r="AA39" s="233"/>
      <c r="AB39" s="232"/>
      <c r="AC39" s="233"/>
      <c r="AD39" s="232"/>
      <c r="AE39" s="234"/>
      <c r="AF39" s="231"/>
      <c r="AG39" s="198"/>
      <c r="AH39" s="198"/>
      <c r="AI39" s="199"/>
      <c r="AJ39" s="199"/>
      <c r="AK39" s="199"/>
      <c r="AL39" s="201"/>
      <c r="AM39" s="228"/>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3"/>
      <c r="BR39" s="203"/>
      <c r="BS39" s="203"/>
    </row>
    <row r="40" spans="2:71" s="204" customFormat="1" ht="18" customHeight="1" x14ac:dyDescent="0.2">
      <c r="B40" s="315"/>
      <c r="C40" s="309"/>
      <c r="D40" s="298"/>
      <c r="E40" s="298"/>
      <c r="F40" s="298"/>
      <c r="G40" s="298"/>
      <c r="H40" s="298"/>
      <c r="I40" s="301"/>
      <c r="J40" s="304"/>
      <c r="K40" s="346"/>
      <c r="L40" s="333"/>
      <c r="M40" s="346">
        <f>IF(NOT(ISERROR(MATCH(L40,_xlfn.ANCHORARRAY(G57),0))),K59&amp;"Por favor no seleccionar los criterios de impacto",L40)</f>
        <v>0</v>
      </c>
      <c r="N40" s="304"/>
      <c r="O40" s="346"/>
      <c r="P40" s="354"/>
      <c r="Q40" s="190">
        <v>3</v>
      </c>
      <c r="R40" s="210"/>
      <c r="S40" s="230"/>
      <c r="T40" s="231"/>
      <c r="U40" s="231"/>
      <c r="V40" s="232"/>
      <c r="W40" s="231"/>
      <c r="X40" s="231"/>
      <c r="Y40" s="231"/>
      <c r="Z40" s="215"/>
      <c r="AA40" s="233"/>
      <c r="AB40" s="232"/>
      <c r="AC40" s="233"/>
      <c r="AD40" s="232"/>
      <c r="AE40" s="234"/>
      <c r="AF40" s="231"/>
      <c r="AG40" s="201"/>
      <c r="AH40" s="220"/>
      <c r="AI40" s="200"/>
      <c r="AJ40" s="200"/>
      <c r="AK40" s="200"/>
      <c r="AL40" s="201"/>
      <c r="AM40" s="202"/>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203"/>
      <c r="BR40" s="203"/>
      <c r="BS40" s="203"/>
    </row>
    <row r="41" spans="2:71" s="204" customFormat="1" ht="18" customHeight="1" x14ac:dyDescent="0.2">
      <c r="B41" s="315"/>
      <c r="C41" s="309"/>
      <c r="D41" s="298"/>
      <c r="E41" s="298"/>
      <c r="F41" s="298"/>
      <c r="G41" s="298"/>
      <c r="H41" s="298"/>
      <c r="I41" s="301"/>
      <c r="J41" s="304"/>
      <c r="K41" s="346"/>
      <c r="L41" s="333"/>
      <c r="M41" s="346">
        <f>IF(NOT(ISERROR(MATCH(L41,_xlfn.ANCHORARRAY(G58),0))),K60&amp;"Por favor no seleccionar los criterios de impacto",L41)</f>
        <v>0</v>
      </c>
      <c r="N41" s="304"/>
      <c r="O41" s="346"/>
      <c r="P41" s="354"/>
      <c r="Q41" s="190">
        <v>4</v>
      </c>
      <c r="R41" s="191"/>
      <c r="S41" s="230"/>
      <c r="T41" s="231"/>
      <c r="U41" s="231"/>
      <c r="V41" s="232"/>
      <c r="W41" s="231"/>
      <c r="X41" s="231"/>
      <c r="Y41" s="231"/>
      <c r="Z41" s="215"/>
      <c r="AA41" s="233"/>
      <c r="AB41" s="232"/>
      <c r="AC41" s="233"/>
      <c r="AD41" s="232"/>
      <c r="AE41" s="234"/>
      <c r="AF41" s="231"/>
      <c r="AG41" s="201"/>
      <c r="AH41" s="220"/>
      <c r="AI41" s="200"/>
      <c r="AJ41" s="200"/>
      <c r="AK41" s="200"/>
      <c r="AL41" s="201"/>
      <c r="AM41" s="202"/>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c r="BO41" s="203"/>
      <c r="BP41" s="203"/>
      <c r="BQ41" s="203"/>
      <c r="BR41" s="203"/>
      <c r="BS41" s="203"/>
    </row>
    <row r="42" spans="2:71" s="204" customFormat="1" ht="18" customHeight="1" x14ac:dyDescent="0.2">
      <c r="B42" s="315"/>
      <c r="C42" s="309"/>
      <c r="D42" s="298"/>
      <c r="E42" s="298"/>
      <c r="F42" s="298"/>
      <c r="G42" s="298"/>
      <c r="H42" s="298"/>
      <c r="I42" s="301"/>
      <c r="J42" s="304"/>
      <c r="K42" s="346"/>
      <c r="L42" s="333"/>
      <c r="M42" s="346">
        <f>IF(NOT(ISERROR(MATCH(L42,_xlfn.ANCHORARRAY(G59),0))),K61&amp;"Por favor no seleccionar los criterios de impacto",L42)</f>
        <v>0</v>
      </c>
      <c r="N42" s="304"/>
      <c r="O42" s="346"/>
      <c r="P42" s="354"/>
      <c r="Q42" s="190">
        <v>5</v>
      </c>
      <c r="R42" s="191"/>
      <c r="S42" s="230"/>
      <c r="T42" s="231"/>
      <c r="U42" s="231"/>
      <c r="V42" s="232"/>
      <c r="W42" s="231"/>
      <c r="X42" s="231"/>
      <c r="Y42" s="231"/>
      <c r="Z42" s="215" t="str">
        <f t="shared" ref="Z42:Z43" si="30">IFERROR(IF(AND(S41="Probabilidad",S42="Probabilidad"),(AB41-(+AB41*V42)),IF(AND(S41="Impacto",S42="Probabilidad"),(AB40-(+AB40*V42)),IF(S42="Impacto",AB41,""))),"")</f>
        <v/>
      </c>
      <c r="AA42" s="233"/>
      <c r="AB42" s="232"/>
      <c r="AC42" s="233"/>
      <c r="AD42" s="232"/>
      <c r="AE42" s="234"/>
      <c r="AF42" s="231"/>
      <c r="AG42" s="201"/>
      <c r="AH42" s="220"/>
      <c r="AI42" s="200"/>
      <c r="AJ42" s="200"/>
      <c r="AK42" s="200"/>
      <c r="AL42" s="201"/>
      <c r="AM42" s="202"/>
      <c r="AN42" s="203"/>
      <c r="AO42" s="203"/>
      <c r="AP42" s="203"/>
      <c r="AQ42" s="203"/>
      <c r="AR42" s="203"/>
      <c r="AS42" s="203"/>
      <c r="AT42" s="203"/>
      <c r="AU42" s="203"/>
      <c r="AV42" s="203"/>
      <c r="AW42" s="203"/>
      <c r="AX42" s="203"/>
      <c r="AY42" s="203"/>
      <c r="AZ42" s="203"/>
      <c r="BA42" s="203"/>
      <c r="BB42" s="203"/>
      <c r="BC42" s="203"/>
      <c r="BD42" s="203"/>
      <c r="BE42" s="203"/>
      <c r="BF42" s="203"/>
      <c r="BG42" s="203"/>
      <c r="BH42" s="203"/>
      <c r="BI42" s="203"/>
      <c r="BJ42" s="203"/>
      <c r="BK42" s="203"/>
      <c r="BL42" s="203"/>
      <c r="BM42" s="203"/>
      <c r="BN42" s="203"/>
      <c r="BO42" s="203"/>
      <c r="BP42" s="203"/>
      <c r="BQ42" s="203"/>
      <c r="BR42" s="203"/>
      <c r="BS42" s="203"/>
    </row>
    <row r="43" spans="2:71" s="204" customFormat="1" ht="102.75" customHeight="1" x14ac:dyDescent="0.2">
      <c r="B43" s="316"/>
      <c r="C43" s="310"/>
      <c r="D43" s="306"/>
      <c r="E43" s="306"/>
      <c r="F43" s="306"/>
      <c r="G43" s="306"/>
      <c r="H43" s="306"/>
      <c r="I43" s="351"/>
      <c r="J43" s="307"/>
      <c r="K43" s="347"/>
      <c r="L43" s="352"/>
      <c r="M43" s="347">
        <f>IF(NOT(ISERROR(MATCH(L43,_xlfn.ANCHORARRAY(G60),0))),K26&amp;"Por favor no seleccionar los criterios de impacto",L43)</f>
        <v>0</v>
      </c>
      <c r="N43" s="307"/>
      <c r="O43" s="347"/>
      <c r="P43" s="355"/>
      <c r="Q43" s="190">
        <v>6</v>
      </c>
      <c r="R43" s="191"/>
      <c r="S43" s="235"/>
      <c r="T43" s="236"/>
      <c r="U43" s="236"/>
      <c r="V43" s="237"/>
      <c r="W43" s="236"/>
      <c r="X43" s="236"/>
      <c r="Y43" s="236"/>
      <c r="Z43" s="215" t="str">
        <f t="shared" si="30"/>
        <v/>
      </c>
      <c r="AA43" s="238"/>
      <c r="AB43" s="237"/>
      <c r="AC43" s="238"/>
      <c r="AD43" s="237"/>
      <c r="AE43" s="239"/>
      <c r="AF43" s="236"/>
      <c r="AG43" s="201"/>
      <c r="AH43" s="220"/>
      <c r="AI43" s="200"/>
      <c r="AJ43" s="200"/>
      <c r="AK43" s="200"/>
      <c r="AL43" s="201"/>
      <c r="AM43" s="202"/>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c r="BJ43" s="203"/>
      <c r="BK43" s="203"/>
      <c r="BL43" s="203"/>
      <c r="BM43" s="203"/>
      <c r="BN43" s="203"/>
      <c r="BO43" s="203"/>
      <c r="BP43" s="203"/>
      <c r="BQ43" s="203"/>
      <c r="BR43" s="203"/>
      <c r="BS43" s="203"/>
    </row>
    <row r="44" spans="2:71" s="204" customFormat="1" ht="162" customHeight="1" x14ac:dyDescent="0.2">
      <c r="B44" s="314">
        <v>6</v>
      </c>
      <c r="C44" s="308" t="s">
        <v>340</v>
      </c>
      <c r="D44" s="297" t="s">
        <v>93</v>
      </c>
      <c r="E44" s="297" t="s">
        <v>330</v>
      </c>
      <c r="F44" s="297" t="s">
        <v>331</v>
      </c>
      <c r="G44" s="297" t="s">
        <v>332</v>
      </c>
      <c r="H44" s="297" t="s">
        <v>97</v>
      </c>
      <c r="I44" s="300">
        <v>2</v>
      </c>
      <c r="J44" s="303" t="str">
        <f>IF(I44&lt;=0,"",IF(I44&lt;=2,"Muy Baja",IF(I44&lt;=24,"Baja",IF(I44&lt;=500,"Media",IF(I44&lt;=5000,"Alta","Muy Alta")))))</f>
        <v>Muy Baja</v>
      </c>
      <c r="K44" s="345">
        <f>IF(J44="","",IF(J44="Muy Baja",0.2,IF(J44="Baja",0.4,IF(J44="Media",0.6,IF(J44="Alta",0.8,IF(J44="Muy Alta",1,))))))</f>
        <v>0.2</v>
      </c>
      <c r="L44" s="332" t="s">
        <v>162</v>
      </c>
      <c r="M44" s="345" t="str">
        <f>IF(NOT(ISERROR(MATCH(L44,'Tabla Impacto'!$B$225:$B$227,0))),'Tabla Impacto'!$G$227&amp;"Por favor no seleccionar los criterios de impacto(Afectación Económica o presupuestal y Pérdida Reputacional)",L44)</f>
        <v xml:space="preserve">     El riesgo afecta la imagen de de la entidad con efecto publicitario sostenido a nivel de sector administrativo, nivel departamental o municipal</v>
      </c>
      <c r="N44" s="303" t="str">
        <f>IF(OR(M44='Tabla Impacto'!$C$15,M44='Tabla Impacto'!$E$15),"Leve",IF(OR(M44='Tabla Impacto'!$C$16,M44='Tabla Impacto'!$E$16),"Menor",IF(OR(M44='Tabla Impacto'!$C$17,M44='Tabla Impacto'!$E$17),"Moderado",IF(OR(M44='Tabla Impacto'!$C$18,M44='Tabla Impacto'!$E$18),"Mayor",IF(OR(M44='Tabla Impacto'!$C$19,M44='Tabla Impacto'!$E$19),"Catastrófico","")))))</f>
        <v>Mayor</v>
      </c>
      <c r="O44" s="345">
        <f>IF(N44="","",IF(N44="Leve",0.2,IF(N44="Menor",0.4,IF(N44="Moderado",0.6,IF(N44="Mayor",0.8,IF(N44="Catastrófico",1,))))))</f>
        <v>0.8</v>
      </c>
      <c r="P44" s="353" t="str">
        <f>IF(OR(AND(J44="Muy Baja",N44="Leve"),AND(J44="Muy Baja",N44="Menor"),AND(J44="Baja",N44="Leve")),"Bajo",IF(OR(AND(J44="Muy baja",N44="Moderado"),AND(J44="Baja",N44="Menor"),AND(J44="Baja",N44="Moderado"),AND(J44="Media",N44="Leve"),AND(J44="Media",N44="Menor"),AND(J44="Media",N44="Moderado"),AND(J44="Alta",N44="Leve"),AND(J44="Alta",N44="Menor")),"Moderado",IF(OR(AND(J44="Muy Baja",N44="Mayor"),AND(J44="Baja",N44="Mayor"),AND(J44="Media",N44="Mayor"),AND(J44="Alta",N44="Moderado"),AND(J44="Alta",N44="Mayor"),AND(J44="Muy Alta",N44="Leve"),AND(J44="Muy Alta",N44="Menor"),AND(J44="Muy Alta",N44="Moderado"),AND(J44="Muy Alta",N44="Mayor")),"Alto",IF(OR(AND(J44="Muy Baja",N44="Catastrófico"),AND(J44="Baja",N44="Catastrófico"),AND(J44="Media",N44="Catastrófico"),AND(J44="Alta",N44="Catastrófico"),AND(J44="Muy Alta",N44="Catastrófico")),"Extremo",""))))</f>
        <v>Alto</v>
      </c>
      <c r="Q44" s="190">
        <v>1</v>
      </c>
      <c r="R44" s="191" t="s">
        <v>394</v>
      </c>
      <c r="S44" s="205" t="str">
        <f>IF(OR(T44="Preventivo",T44="Detectivo"),"Probabilidad",IF(T44="Correctivo","Impacto",""))</f>
        <v>Impacto</v>
      </c>
      <c r="T44" s="206" t="s">
        <v>185</v>
      </c>
      <c r="U44" s="206" t="s">
        <v>101</v>
      </c>
      <c r="V44" s="207" t="str">
        <f>IF(AND(T44="Preventivo",U44="Automático"),"50%",IF(AND(T44="Preventivo",U44="Manual"),"40%",IF(AND(T44="Detectivo",U44="Automático"),"40%",IF(AND(T44="Detectivo",U44="Manual"),"30%",IF(AND(T44="Correctivo",U44="Automático"),"35%",IF(AND(T44="Correctivo",U44="Manual"),"25%",""))))))</f>
        <v>25%</v>
      </c>
      <c r="W44" s="206" t="s">
        <v>102</v>
      </c>
      <c r="X44" s="206" t="s">
        <v>103</v>
      </c>
      <c r="Y44" s="206" t="s">
        <v>104</v>
      </c>
      <c r="Z44" s="195">
        <f>IFERROR(IF(S44="Probabilidad",(K44-(+K44*V44)),IF(S44="Impacto",K44,"")),"")</f>
        <v>0.2</v>
      </c>
      <c r="AA44" s="208" t="str">
        <f>IFERROR(IF(Z44="","",IF(Z44&lt;=0.2,"Muy Baja",IF(Z44&lt;=0.4,"Baja",IF(Z44&lt;=0.6,"Media",IF(Z44&lt;=0.8,"Alta","Muy Alta"))))),"")</f>
        <v>Muy Baja</v>
      </c>
      <c r="AB44" s="194">
        <f>+Z44</f>
        <v>0.2</v>
      </c>
      <c r="AC44" s="208" t="str">
        <f>IFERROR(IF(AD44="","",IF(AD44&lt;=0.2,"Leve",IF(AD44&lt;=0.4,"Menor",IF(AD44&lt;=0.6,"Moderado",IF(AD44&lt;=0.8,"Mayor","Catastrófico"))))),"")</f>
        <v>Moderado</v>
      </c>
      <c r="AD44" s="194">
        <f>IFERROR(IF(S44="Impacto",(O44-(+O44*V44)),IF(S44="Probabilidad",O44,"")),"")</f>
        <v>0.60000000000000009</v>
      </c>
      <c r="AE44" s="209" t="str">
        <f>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Moderado</v>
      </c>
      <c r="AF44" s="193" t="s">
        <v>105</v>
      </c>
      <c r="AG44" s="198" t="s">
        <v>395</v>
      </c>
      <c r="AH44" s="198" t="s">
        <v>348</v>
      </c>
      <c r="AI44" s="199">
        <v>45686</v>
      </c>
      <c r="AJ44" s="199">
        <v>46006</v>
      </c>
      <c r="AK44" s="200"/>
      <c r="AL44" s="201"/>
      <c r="AM44" s="202"/>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3"/>
      <c r="BR44" s="203"/>
      <c r="BS44" s="203"/>
    </row>
    <row r="45" spans="2:71" s="204" customFormat="1" ht="15" customHeight="1" x14ac:dyDescent="0.2">
      <c r="B45" s="315"/>
      <c r="C45" s="309"/>
      <c r="D45" s="298"/>
      <c r="E45" s="298"/>
      <c r="F45" s="298"/>
      <c r="G45" s="298"/>
      <c r="H45" s="298"/>
      <c r="I45" s="301"/>
      <c r="J45" s="304"/>
      <c r="K45" s="346"/>
      <c r="L45" s="333"/>
      <c r="M45" s="346">
        <f>IF(NOT(ISERROR(MATCH(L45,_xlfn.ANCHORARRAY(G91),0))),K93&amp;"Por favor no seleccionar los criterios de impacto",L45)</f>
        <v>0</v>
      </c>
      <c r="N45" s="304"/>
      <c r="O45" s="346"/>
      <c r="P45" s="354"/>
      <c r="Q45" s="190">
        <v>2</v>
      </c>
      <c r="R45" s="191"/>
      <c r="S45" s="205" t="str">
        <f>IF(OR(T45="Preventivo",T45="Detectivo"),"Probabilidad",IF(T45="Correctivo","Impacto",""))</f>
        <v/>
      </c>
      <c r="T45" s="206"/>
      <c r="U45" s="206"/>
      <c r="V45" s="207" t="str">
        <f t="shared" ref="V45:V49" si="31">IF(AND(T45="Preventivo",U45="Automático"),"50%",IF(AND(T45="Preventivo",U45="Manual"),"40%",IF(AND(T45="Detectivo",U45="Automático"),"40%",IF(AND(T45="Detectivo",U45="Manual"),"30%",IF(AND(T45="Correctivo",U45="Automático"),"35%",IF(AND(T45="Correctivo",U45="Manual"),"25%",""))))))</f>
        <v/>
      </c>
      <c r="W45" s="206"/>
      <c r="X45" s="206"/>
      <c r="Y45" s="206"/>
      <c r="Z45" s="195" t="str">
        <f>IFERROR(IF(AND(S44="Probabilidad",S45="Probabilidad"),(AB44-(+AB44*V45)),IF(S45="Probabilidad",(K44-(+K44*V45)),IF(S45="Impacto",AB44,""))),"")</f>
        <v/>
      </c>
      <c r="AA45" s="208" t="str">
        <f t="shared" ref="AA45:AA49" si="32">IFERROR(IF(Z45="","",IF(Z45&lt;=0.2,"Muy Baja",IF(Z45&lt;=0.4,"Baja",IF(Z45&lt;=0.6,"Media",IF(Z45&lt;=0.8,"Alta","Muy Alta"))))),"")</f>
        <v/>
      </c>
      <c r="AB45" s="194" t="str">
        <f t="shared" ref="AB45:AB49" si="33">+Z45</f>
        <v/>
      </c>
      <c r="AC45" s="208" t="str">
        <f t="shared" ref="AC45:AC49" si="34">IFERROR(IF(AD45="","",IF(AD45&lt;=0.2,"Leve",IF(AD45&lt;=0.4,"Menor",IF(AD45&lt;=0.6,"Moderado",IF(AD45&lt;=0.8,"Mayor","Catastrófico"))))),"")</f>
        <v/>
      </c>
      <c r="AD45" s="194" t="str">
        <f>IFERROR(IF(AND(S44="Impacto",S45="Impacto"),(AD44-(+AD44*V45)),IF(S45="Impacto",(O44-(+O44*V45)),IF(S45="Probabilidad",AD44,""))),"")</f>
        <v/>
      </c>
      <c r="AE45" s="209" t="str">
        <f t="shared" ref="AE45:AE46" si="35">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93"/>
      <c r="AG45" s="198"/>
      <c r="AH45" s="198"/>
      <c r="AI45" s="199"/>
      <c r="AJ45" s="199"/>
      <c r="AK45" s="200"/>
      <c r="AL45" s="201"/>
      <c r="AM45" s="202"/>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203"/>
      <c r="BP45" s="203"/>
      <c r="BQ45" s="203"/>
      <c r="BR45" s="203"/>
      <c r="BS45" s="203"/>
    </row>
    <row r="46" spans="2:71" s="204" customFormat="1" ht="18" customHeight="1" x14ac:dyDescent="0.2">
      <c r="B46" s="315"/>
      <c r="C46" s="309"/>
      <c r="D46" s="298"/>
      <c r="E46" s="298"/>
      <c r="F46" s="298"/>
      <c r="G46" s="298"/>
      <c r="H46" s="298"/>
      <c r="I46" s="301"/>
      <c r="J46" s="304"/>
      <c r="K46" s="346"/>
      <c r="L46" s="333"/>
      <c r="M46" s="346">
        <f>IF(NOT(ISERROR(MATCH(L46,_xlfn.ANCHORARRAY(G92),0))),K94&amp;"Por favor no seleccionar los criterios de impacto",L46)</f>
        <v>0</v>
      </c>
      <c r="N46" s="304"/>
      <c r="O46" s="346"/>
      <c r="P46" s="354"/>
      <c r="Q46" s="190">
        <v>3</v>
      </c>
      <c r="R46" s="210"/>
      <c r="S46" s="205" t="str">
        <f>IF(OR(T46="Preventivo",T46="Detectivo"),"Probabilidad",IF(T46="Correctivo","Impacto",""))</f>
        <v/>
      </c>
      <c r="T46" s="206"/>
      <c r="U46" s="206"/>
      <c r="V46" s="207" t="str">
        <f t="shared" si="31"/>
        <v/>
      </c>
      <c r="W46" s="206"/>
      <c r="X46" s="206"/>
      <c r="Y46" s="206"/>
      <c r="Z46" s="195" t="str">
        <f>IFERROR(IF(AND(S45="Probabilidad",S46="Probabilidad"),(AB45-(+AB45*V46)),IF(AND(S45="Impacto",S46="Probabilidad"),(AB44-(+AB44*V46)),IF(S46="Impacto",AB45,""))),"")</f>
        <v/>
      </c>
      <c r="AA46" s="208" t="str">
        <f t="shared" si="32"/>
        <v/>
      </c>
      <c r="AB46" s="194" t="str">
        <f t="shared" si="33"/>
        <v/>
      </c>
      <c r="AC46" s="208" t="str">
        <f t="shared" si="34"/>
        <v/>
      </c>
      <c r="AD46" s="194" t="str">
        <f>IFERROR(IF(AND(S45="Impacto",S46="Impacto"),(AD45-(+AD45*V46)),IF(AND(S45="Probabilidad",S46="Impacto"),(AD44-(+AD44*V46)),IF(S46="Probabilidad",AD45,""))),"")</f>
        <v/>
      </c>
      <c r="AE46" s="209" t="str">
        <f t="shared" si="35"/>
        <v/>
      </c>
      <c r="AF46" s="193"/>
      <c r="AG46" s="198"/>
      <c r="AH46" s="211"/>
      <c r="AI46" s="199"/>
      <c r="AJ46" s="199"/>
      <c r="AK46" s="200"/>
      <c r="AL46" s="201"/>
      <c r="AM46" s="202"/>
      <c r="AN46" s="203"/>
      <c r="AO46" s="203"/>
      <c r="AP46" s="203"/>
      <c r="AQ46" s="203"/>
      <c r="AR46" s="203"/>
      <c r="AS46" s="203"/>
      <c r="AT46" s="203"/>
      <c r="AU46" s="203"/>
      <c r="AV46" s="203"/>
      <c r="AW46" s="203"/>
      <c r="AX46" s="203"/>
      <c r="AY46" s="203"/>
      <c r="AZ46" s="203"/>
      <c r="BA46" s="203"/>
      <c r="BB46" s="203"/>
      <c r="BC46" s="203"/>
      <c r="BD46" s="203"/>
      <c r="BE46" s="203"/>
      <c r="BF46" s="203"/>
      <c r="BG46" s="203"/>
      <c r="BH46" s="203"/>
      <c r="BI46" s="203"/>
      <c r="BJ46" s="203"/>
      <c r="BK46" s="203"/>
      <c r="BL46" s="203"/>
      <c r="BM46" s="203"/>
      <c r="BN46" s="203"/>
      <c r="BO46" s="203"/>
      <c r="BP46" s="203"/>
      <c r="BQ46" s="203"/>
      <c r="BR46" s="203"/>
      <c r="BS46" s="203"/>
    </row>
    <row r="47" spans="2:71" s="204" customFormat="1" ht="18" customHeight="1" x14ac:dyDescent="0.2">
      <c r="B47" s="315"/>
      <c r="C47" s="309"/>
      <c r="D47" s="298"/>
      <c r="E47" s="298"/>
      <c r="F47" s="298"/>
      <c r="G47" s="298"/>
      <c r="H47" s="298"/>
      <c r="I47" s="301"/>
      <c r="J47" s="304"/>
      <c r="K47" s="346"/>
      <c r="L47" s="333"/>
      <c r="M47" s="346">
        <f>IF(NOT(ISERROR(MATCH(L47,_xlfn.ANCHORARRAY(G93),0))),K95&amp;"Por favor no seleccionar los criterios de impacto",L47)</f>
        <v>0</v>
      </c>
      <c r="N47" s="304"/>
      <c r="O47" s="346"/>
      <c r="P47" s="354"/>
      <c r="Q47" s="190">
        <v>4</v>
      </c>
      <c r="R47" s="191"/>
      <c r="S47" s="212" t="str">
        <f t="shared" ref="S47:S49" si="36">IF(OR(T47="Preventivo",T47="Detectivo"),"Probabilidad",IF(T47="Correctivo","Impacto",""))</f>
        <v/>
      </c>
      <c r="T47" s="213"/>
      <c r="U47" s="213"/>
      <c r="V47" s="214" t="str">
        <f t="shared" si="31"/>
        <v/>
      </c>
      <c r="W47" s="213"/>
      <c r="X47" s="213"/>
      <c r="Y47" s="213"/>
      <c r="Z47" s="215" t="str">
        <f t="shared" ref="Z47:Z49" si="37">IFERROR(IF(AND(S46="Probabilidad",S47="Probabilidad"),(AB46-(+AB46*V47)),IF(AND(S46="Impacto",S47="Probabilidad"),(AB45-(+AB45*V47)),IF(S47="Impacto",AB46,""))),"")</f>
        <v/>
      </c>
      <c r="AA47" s="216" t="str">
        <f t="shared" si="32"/>
        <v/>
      </c>
      <c r="AB47" s="217" t="str">
        <f t="shared" si="33"/>
        <v/>
      </c>
      <c r="AC47" s="216" t="str">
        <f t="shared" si="34"/>
        <v/>
      </c>
      <c r="AD47" s="217" t="str">
        <f t="shared" ref="AD47:AD49" si="38">IFERROR(IF(AND(S46="Impacto",S47="Impacto"),(AD46-(+AD46*V47)),IF(AND(S46="Probabilidad",S47="Impacto"),(AD45-(+AD45*V47)),IF(S47="Probabilidad",AD46,""))),"")</f>
        <v/>
      </c>
      <c r="AE47" s="218" t="str">
        <f>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219"/>
      <c r="AG47" s="201"/>
      <c r="AH47" s="220"/>
      <c r="AI47" s="200"/>
      <c r="AJ47" s="200"/>
      <c r="AK47" s="200"/>
      <c r="AL47" s="201"/>
      <c r="AM47" s="202"/>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3"/>
      <c r="BR47" s="203"/>
      <c r="BS47" s="203"/>
    </row>
    <row r="48" spans="2:71" s="204" customFormat="1" ht="18" customHeight="1" x14ac:dyDescent="0.2">
      <c r="B48" s="315"/>
      <c r="C48" s="309"/>
      <c r="D48" s="298"/>
      <c r="E48" s="298"/>
      <c r="F48" s="298"/>
      <c r="G48" s="298"/>
      <c r="H48" s="298"/>
      <c r="I48" s="301"/>
      <c r="J48" s="304"/>
      <c r="K48" s="346"/>
      <c r="L48" s="333"/>
      <c r="M48" s="346">
        <f>IF(NOT(ISERROR(MATCH(L48,_xlfn.ANCHORARRAY(G94),0))),K96&amp;"Por favor no seleccionar los criterios de impacto",L48)</f>
        <v>0</v>
      </c>
      <c r="N48" s="304"/>
      <c r="O48" s="346"/>
      <c r="P48" s="354"/>
      <c r="Q48" s="190">
        <v>5</v>
      </c>
      <c r="R48" s="191"/>
      <c r="S48" s="212" t="str">
        <f t="shared" si="36"/>
        <v/>
      </c>
      <c r="T48" s="213"/>
      <c r="U48" s="213"/>
      <c r="V48" s="214" t="str">
        <f t="shared" si="31"/>
        <v/>
      </c>
      <c r="W48" s="213"/>
      <c r="X48" s="213"/>
      <c r="Y48" s="213"/>
      <c r="Z48" s="215" t="str">
        <f t="shared" si="37"/>
        <v/>
      </c>
      <c r="AA48" s="216" t="str">
        <f t="shared" si="32"/>
        <v/>
      </c>
      <c r="AB48" s="217" t="str">
        <f t="shared" si="33"/>
        <v/>
      </c>
      <c r="AC48" s="216" t="str">
        <f t="shared" si="34"/>
        <v/>
      </c>
      <c r="AD48" s="217" t="str">
        <f t="shared" si="38"/>
        <v/>
      </c>
      <c r="AE48" s="218" t="str">
        <f t="shared" ref="AE48:AE49" si="39">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219"/>
      <c r="AG48" s="201"/>
      <c r="AH48" s="220"/>
      <c r="AI48" s="200"/>
      <c r="AJ48" s="200"/>
      <c r="AK48" s="200"/>
      <c r="AL48" s="201"/>
      <c r="AM48" s="202"/>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3"/>
      <c r="BP48" s="203"/>
      <c r="BQ48" s="203"/>
      <c r="BR48" s="203"/>
      <c r="BS48" s="203"/>
    </row>
    <row r="49" spans="2:71" s="204" customFormat="1" ht="18" customHeight="1" x14ac:dyDescent="0.2">
      <c r="B49" s="316"/>
      <c r="C49" s="310"/>
      <c r="D49" s="306"/>
      <c r="E49" s="306"/>
      <c r="F49" s="306"/>
      <c r="G49" s="306"/>
      <c r="H49" s="306"/>
      <c r="I49" s="351"/>
      <c r="J49" s="307"/>
      <c r="K49" s="347"/>
      <c r="L49" s="352"/>
      <c r="M49" s="347">
        <f>IF(NOT(ISERROR(MATCH(L49,_xlfn.ANCHORARRAY(G95),0))),K97&amp;"Por favor no seleccionar los criterios de impacto",L49)</f>
        <v>0</v>
      </c>
      <c r="N49" s="307"/>
      <c r="O49" s="347"/>
      <c r="P49" s="355"/>
      <c r="Q49" s="190">
        <v>6</v>
      </c>
      <c r="R49" s="191"/>
      <c r="S49" s="212" t="str">
        <f t="shared" si="36"/>
        <v/>
      </c>
      <c r="T49" s="213"/>
      <c r="U49" s="213"/>
      <c r="V49" s="214" t="str">
        <f t="shared" si="31"/>
        <v/>
      </c>
      <c r="W49" s="213"/>
      <c r="X49" s="213"/>
      <c r="Y49" s="213"/>
      <c r="Z49" s="215" t="str">
        <f t="shared" si="37"/>
        <v/>
      </c>
      <c r="AA49" s="216" t="str">
        <f t="shared" si="32"/>
        <v/>
      </c>
      <c r="AB49" s="217" t="str">
        <f t="shared" si="33"/>
        <v/>
      </c>
      <c r="AC49" s="216" t="str">
        <f t="shared" si="34"/>
        <v/>
      </c>
      <c r="AD49" s="217" t="str">
        <f t="shared" si="38"/>
        <v/>
      </c>
      <c r="AE49" s="218" t="str">
        <f t="shared" si="39"/>
        <v/>
      </c>
      <c r="AF49" s="219"/>
      <c r="AG49" s="201"/>
      <c r="AH49" s="220"/>
      <c r="AI49" s="200"/>
      <c r="AJ49" s="200"/>
      <c r="AK49" s="200"/>
      <c r="AL49" s="201"/>
      <c r="AM49" s="202"/>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3"/>
      <c r="BR49" s="203"/>
      <c r="BS49" s="203"/>
    </row>
    <row r="50" spans="2:71" s="204" customFormat="1" ht="140.25" customHeight="1" x14ac:dyDescent="0.2">
      <c r="B50" s="314">
        <v>7</v>
      </c>
      <c r="C50" s="308" t="s">
        <v>340</v>
      </c>
      <c r="D50" s="297" t="s">
        <v>93</v>
      </c>
      <c r="E50" s="297" t="s">
        <v>357</v>
      </c>
      <c r="F50" s="297" t="s">
        <v>358</v>
      </c>
      <c r="G50" s="297" t="s">
        <v>359</v>
      </c>
      <c r="H50" s="297" t="s">
        <v>97</v>
      </c>
      <c r="I50" s="300">
        <v>2</v>
      </c>
      <c r="J50" s="303" t="str">
        <f>IF(I50&lt;=0,"",IF(I50&lt;=2,"Muy Baja",IF(I50&lt;=24,"Baja",IF(I50&lt;=500,"Media",IF(I50&lt;=5000,"Alta","Muy Alta")))))</f>
        <v>Muy Baja</v>
      </c>
      <c r="K50" s="345">
        <f>IF(J50="","",IF(J50="Muy Baja",0.2,IF(J50="Baja",0.4,IF(J50="Media",0.6,IF(J50="Alta",0.8,IF(J50="Muy Alta",1,))))))</f>
        <v>0.2</v>
      </c>
      <c r="L50" s="332" t="s">
        <v>156</v>
      </c>
      <c r="M50" s="345" t="str">
        <f>IF(NOT(ISERROR(MATCH(L50,'Tabla Impacto'!$B$225:$B$227,0))),'Tabla Impacto'!$G$227&amp;"Por favor no seleccionar los criterios de impacto(Afectación Económica o presupuestal y Pérdida Reputacional)",L50)</f>
        <v xml:space="preserve">     El riesgo afecta la imagen de alguna área de la organización</v>
      </c>
      <c r="N50" s="303" t="str">
        <f>IF(OR(M50='Tabla Impacto'!$C$15,M50='Tabla Impacto'!$E$15),"Leve",IF(OR(M50='Tabla Impacto'!$C$16,M50='Tabla Impacto'!$E$16),"Menor",IF(OR(M50='Tabla Impacto'!$C$17,M50='Tabla Impacto'!$E$17),"Moderado",IF(OR(M50='Tabla Impacto'!$C$18,M50='Tabla Impacto'!$E$18),"Mayor",IF(OR(M50='Tabla Impacto'!$C$19,M50='Tabla Impacto'!$E$19),"Catastrófico","")))))</f>
        <v>Leve</v>
      </c>
      <c r="O50" s="345">
        <f>IF(N50="","",IF(N50="Leve",0.2,IF(N50="Menor",0.4,IF(N50="Moderado",0.6,IF(N50="Mayor",0.8,IF(N50="Catastrófico",1,))))))</f>
        <v>0.2</v>
      </c>
      <c r="P50" s="353" t="str">
        <f>IF(OR(AND(J50="Muy Baja",N50="Leve"),AND(J50="Muy Baja",N50="Menor"),AND(J50="Baja",N50="Leve")),"Bajo",IF(OR(AND(J50="Muy baja",N50="Moderado"),AND(J50="Baja",N50="Menor"),AND(J50="Baja",N50="Moderado"),AND(J50="Media",N50="Leve"),AND(J50="Media",N50="Menor"),AND(J50="Media",N50="Moderado"),AND(J50="Alta",N50="Leve"),AND(J50="Alta",N50="Menor")),"Moderado",IF(OR(AND(J50="Muy Baja",N50="Mayor"),AND(J50="Baja",N50="Mayor"),AND(J50="Media",N50="Mayor"),AND(J50="Alta",N50="Moderado"),AND(J50="Alta",N50="Mayor"),AND(J50="Muy Alta",N50="Leve"),AND(J50="Muy Alta",N50="Menor"),AND(J50="Muy Alta",N50="Moderado"),AND(J50="Muy Alta",N50="Mayor")),"Alto",IF(OR(AND(J50="Muy Baja",N50="Catastrófico"),AND(J50="Baja",N50="Catastrófico"),AND(J50="Media",N50="Catastrófico"),AND(J50="Alta",N50="Catastrófico"),AND(J50="Muy Alta",N50="Catastrófico")),"Extremo",""))))</f>
        <v>Bajo</v>
      </c>
      <c r="Q50" s="221">
        <v>1</v>
      </c>
      <c r="R50" s="191" t="s">
        <v>396</v>
      </c>
      <c r="S50" s="205" t="str">
        <f>IF(OR(T50="Preventivo",T50="Detectivo"),"Probabilidad",IF(T50="Correctivo","Impacto",""))</f>
        <v>Impacto</v>
      </c>
      <c r="T50" s="206" t="s">
        <v>185</v>
      </c>
      <c r="U50" s="206" t="s">
        <v>101</v>
      </c>
      <c r="V50" s="207" t="str">
        <f>IF(AND(T50="Preventivo",U50="Automático"),"50%",IF(AND(T50="Preventivo",U50="Manual"),"40%",IF(AND(T50="Detectivo",U50="Automático"),"40%",IF(AND(T50="Detectivo",U50="Manual"),"30%",IF(AND(T50="Correctivo",U50="Automático"),"35%",IF(AND(T50="Correctivo",U50="Manual"),"25%",""))))))</f>
        <v>25%</v>
      </c>
      <c r="W50" s="206" t="s">
        <v>102</v>
      </c>
      <c r="X50" s="206" t="s">
        <v>103</v>
      </c>
      <c r="Y50" s="206" t="s">
        <v>104</v>
      </c>
      <c r="Z50" s="195">
        <f>IFERROR(IF(S50="Probabilidad",(K50-(+K50*V50)),IF(S50="Impacto",K50,"")),"")</f>
        <v>0.2</v>
      </c>
      <c r="AA50" s="208" t="str">
        <f>IFERROR(IF(Z50="","",IF(Z50&lt;=0.2,"Muy Baja",IF(Z50&lt;=0.4,"Baja",IF(Z50&lt;=0.6,"Media",IF(Z50&lt;=0.8,"Alta","Muy Alta"))))),"")</f>
        <v>Muy Baja</v>
      </c>
      <c r="AB50" s="194">
        <f>+Z50</f>
        <v>0.2</v>
      </c>
      <c r="AC50" s="208" t="str">
        <f>IFERROR(IF(AD50="","",IF(AD50&lt;=0.2,"Leve",IF(AD50&lt;=0.4,"Menor",IF(AD50&lt;=0.6,"Moderado",IF(AD50&lt;=0.8,"Mayor","Catastrófico"))))),"")</f>
        <v>Leve</v>
      </c>
      <c r="AD50" s="194">
        <f>IFERROR(IF(S50="Impacto",(O50-(+O50*V50)),IF(S50="Probabilidad",O50,"")),"")</f>
        <v>0.15000000000000002</v>
      </c>
      <c r="AE50" s="209" t="str">
        <f>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Bajo</v>
      </c>
      <c r="AF50" s="193" t="s">
        <v>105</v>
      </c>
      <c r="AG50" s="198" t="s">
        <v>362</v>
      </c>
      <c r="AH50" s="198" t="s">
        <v>348</v>
      </c>
      <c r="AI50" s="199">
        <v>45686</v>
      </c>
      <c r="AJ50" s="199">
        <v>46006</v>
      </c>
      <c r="AK50" s="200"/>
      <c r="AL50" s="201"/>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3"/>
      <c r="BR50" s="203"/>
      <c r="BS50" s="203"/>
    </row>
    <row r="51" spans="2:71" s="204" customFormat="1" ht="18" customHeight="1" x14ac:dyDescent="0.2">
      <c r="B51" s="315"/>
      <c r="C51" s="309"/>
      <c r="D51" s="298"/>
      <c r="E51" s="298"/>
      <c r="F51" s="298"/>
      <c r="G51" s="298"/>
      <c r="H51" s="298"/>
      <c r="I51" s="301"/>
      <c r="J51" s="304"/>
      <c r="K51" s="346"/>
      <c r="L51" s="333"/>
      <c r="M51" s="346">
        <f>IF(NOT(ISERROR(MATCH(L51,_xlfn.ANCHORARRAY(G97),0))),K99&amp;"Por favor no seleccionar los criterios de impacto",L51)</f>
        <v>0</v>
      </c>
      <c r="N51" s="304"/>
      <c r="O51" s="346"/>
      <c r="P51" s="354"/>
      <c r="Q51" s="190">
        <v>2</v>
      </c>
      <c r="R51" s="191"/>
      <c r="S51" s="212"/>
      <c r="T51" s="213"/>
      <c r="U51" s="213"/>
      <c r="V51" s="214"/>
      <c r="W51" s="213"/>
      <c r="X51" s="213"/>
      <c r="Y51" s="213"/>
      <c r="Z51" s="215"/>
      <c r="AA51" s="216"/>
      <c r="AB51" s="217"/>
      <c r="AC51" s="216"/>
      <c r="AD51" s="217"/>
      <c r="AE51" s="218"/>
      <c r="AF51" s="219"/>
      <c r="AG51" s="201"/>
      <c r="AH51" s="220"/>
      <c r="AI51" s="200"/>
      <c r="AJ51" s="200"/>
      <c r="AK51" s="200"/>
      <c r="AL51" s="201"/>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row>
    <row r="52" spans="2:71" s="204" customFormat="1" ht="18" customHeight="1" x14ac:dyDescent="0.2">
      <c r="B52" s="315"/>
      <c r="C52" s="309"/>
      <c r="D52" s="298"/>
      <c r="E52" s="298"/>
      <c r="F52" s="298"/>
      <c r="G52" s="298"/>
      <c r="H52" s="298"/>
      <c r="I52" s="301"/>
      <c r="J52" s="304"/>
      <c r="K52" s="346"/>
      <c r="L52" s="333"/>
      <c r="M52" s="346">
        <f>IF(NOT(ISERROR(MATCH(L52,_xlfn.ANCHORARRAY(G98),0))),K100&amp;"Por favor no seleccionar los criterios de impacto",L52)</f>
        <v>0</v>
      </c>
      <c r="N52" s="304"/>
      <c r="O52" s="346"/>
      <c r="P52" s="354"/>
      <c r="Q52" s="190">
        <v>3</v>
      </c>
      <c r="R52" s="210"/>
      <c r="S52" s="212"/>
      <c r="T52" s="213"/>
      <c r="U52" s="213"/>
      <c r="V52" s="214"/>
      <c r="W52" s="213"/>
      <c r="X52" s="213"/>
      <c r="Y52" s="213"/>
      <c r="Z52" s="215"/>
      <c r="AA52" s="216"/>
      <c r="AB52" s="217"/>
      <c r="AC52" s="216"/>
      <c r="AD52" s="217"/>
      <c r="AE52" s="218"/>
      <c r="AF52" s="219"/>
      <c r="AG52" s="201"/>
      <c r="AH52" s="220"/>
      <c r="AI52" s="200"/>
      <c r="AJ52" s="200"/>
      <c r="AK52" s="200"/>
      <c r="AL52" s="201"/>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3"/>
      <c r="BR52" s="203"/>
      <c r="BS52" s="203"/>
    </row>
    <row r="53" spans="2:71" s="204" customFormat="1" ht="18" customHeight="1" x14ac:dyDescent="0.2">
      <c r="B53" s="315"/>
      <c r="C53" s="309"/>
      <c r="D53" s="298"/>
      <c r="E53" s="298"/>
      <c r="F53" s="298"/>
      <c r="G53" s="298"/>
      <c r="H53" s="298"/>
      <c r="I53" s="301"/>
      <c r="J53" s="304"/>
      <c r="K53" s="346"/>
      <c r="L53" s="333"/>
      <c r="M53" s="346">
        <f>IF(NOT(ISERROR(MATCH(L53,_xlfn.ANCHORARRAY(G99),0))),K101&amp;"Por favor no seleccionar los criterios de impacto",L53)</f>
        <v>0</v>
      </c>
      <c r="N53" s="304"/>
      <c r="O53" s="346"/>
      <c r="P53" s="354"/>
      <c r="Q53" s="190">
        <v>4</v>
      </c>
      <c r="R53" s="191"/>
      <c r="S53" s="212"/>
      <c r="T53" s="213"/>
      <c r="U53" s="213"/>
      <c r="V53" s="214"/>
      <c r="W53" s="213"/>
      <c r="X53" s="213"/>
      <c r="Y53" s="213"/>
      <c r="Z53" s="215"/>
      <c r="AA53" s="216"/>
      <c r="AB53" s="217"/>
      <c r="AC53" s="216"/>
      <c r="AD53" s="217"/>
      <c r="AE53" s="218"/>
      <c r="AF53" s="219"/>
      <c r="AG53" s="201"/>
      <c r="AH53" s="220"/>
      <c r="AI53" s="200"/>
      <c r="AJ53" s="200"/>
      <c r="AK53" s="200"/>
      <c r="AL53" s="201"/>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3"/>
      <c r="BR53" s="203"/>
      <c r="BS53" s="203"/>
    </row>
    <row r="54" spans="2:71" s="204" customFormat="1" ht="18" customHeight="1" x14ac:dyDescent="0.2">
      <c r="B54" s="315"/>
      <c r="C54" s="309"/>
      <c r="D54" s="298"/>
      <c r="E54" s="298"/>
      <c r="F54" s="298"/>
      <c r="G54" s="298"/>
      <c r="H54" s="298"/>
      <c r="I54" s="301"/>
      <c r="J54" s="304"/>
      <c r="K54" s="346"/>
      <c r="L54" s="333"/>
      <c r="M54" s="346">
        <f>IF(NOT(ISERROR(MATCH(L54,_xlfn.ANCHORARRAY(G100),0))),K102&amp;"Por favor no seleccionar los criterios de impacto",L54)</f>
        <v>0</v>
      </c>
      <c r="N54" s="304"/>
      <c r="O54" s="346"/>
      <c r="P54" s="354"/>
      <c r="Q54" s="190">
        <v>5</v>
      </c>
      <c r="R54" s="191"/>
      <c r="S54" s="212"/>
      <c r="T54" s="213"/>
      <c r="U54" s="213"/>
      <c r="V54" s="214"/>
      <c r="W54" s="213"/>
      <c r="X54" s="213"/>
      <c r="Y54" s="213"/>
      <c r="Z54" s="215"/>
      <c r="AA54" s="216"/>
      <c r="AB54" s="217"/>
      <c r="AC54" s="216"/>
      <c r="AD54" s="217"/>
      <c r="AE54" s="218"/>
      <c r="AF54" s="219"/>
      <c r="AG54" s="201"/>
      <c r="AH54" s="220"/>
      <c r="AI54" s="200"/>
      <c r="AJ54" s="200"/>
      <c r="AK54" s="200"/>
      <c r="AL54" s="201"/>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3"/>
      <c r="BQ54" s="203"/>
      <c r="BR54" s="203"/>
      <c r="BS54" s="203"/>
    </row>
    <row r="55" spans="2:71" s="204" customFormat="1" ht="74.25" customHeight="1" x14ac:dyDescent="0.2">
      <c r="B55" s="316"/>
      <c r="C55" s="310"/>
      <c r="D55" s="306"/>
      <c r="E55" s="306"/>
      <c r="F55" s="306"/>
      <c r="G55" s="306"/>
      <c r="H55" s="306"/>
      <c r="I55" s="351"/>
      <c r="J55" s="307"/>
      <c r="K55" s="347"/>
      <c r="L55" s="352"/>
      <c r="M55" s="347">
        <f>IF(NOT(ISERROR(MATCH(L55,_xlfn.ANCHORARRAY(G101),0))),K103&amp;"Por favor no seleccionar los criterios de impacto",L55)</f>
        <v>0</v>
      </c>
      <c r="N55" s="307"/>
      <c r="O55" s="347"/>
      <c r="P55" s="355"/>
      <c r="Q55" s="190">
        <v>6</v>
      </c>
      <c r="R55" s="191"/>
      <c r="S55" s="212"/>
      <c r="T55" s="213"/>
      <c r="U55" s="213"/>
      <c r="V55" s="214"/>
      <c r="W55" s="213"/>
      <c r="X55" s="213"/>
      <c r="Y55" s="213"/>
      <c r="Z55" s="215"/>
      <c r="AA55" s="216"/>
      <c r="AB55" s="217"/>
      <c r="AC55" s="216"/>
      <c r="AD55" s="217"/>
      <c r="AE55" s="218"/>
      <c r="AF55" s="219"/>
      <c r="AG55" s="201"/>
      <c r="AH55" s="220"/>
      <c r="AI55" s="200"/>
      <c r="AJ55" s="200"/>
      <c r="AK55" s="200"/>
      <c r="AL55" s="201"/>
      <c r="AM55" s="202"/>
      <c r="AN55" s="203"/>
      <c r="AO55" s="203"/>
      <c r="AP55" s="203"/>
      <c r="AQ55" s="203"/>
      <c r="AR55" s="203"/>
      <c r="AS55" s="203"/>
      <c r="AT55" s="203"/>
      <c r="AU55" s="203"/>
      <c r="AV55" s="203"/>
      <c r="AW55" s="203"/>
      <c r="AX55" s="203"/>
      <c r="AY55" s="203"/>
      <c r="AZ55" s="203"/>
      <c r="BA55" s="203"/>
      <c r="BB55" s="203"/>
      <c r="BC55" s="203"/>
      <c r="BD55" s="203"/>
      <c r="BE55" s="203"/>
      <c r="BF55" s="203"/>
      <c r="BG55" s="203"/>
      <c r="BH55" s="203"/>
      <c r="BI55" s="203"/>
      <c r="BJ55" s="203"/>
      <c r="BK55" s="203"/>
      <c r="BL55" s="203"/>
      <c r="BM55" s="203"/>
      <c r="BN55" s="203"/>
      <c r="BO55" s="203"/>
      <c r="BP55" s="203"/>
      <c r="BQ55" s="203"/>
      <c r="BR55" s="203"/>
      <c r="BS55" s="203"/>
    </row>
    <row r="56" spans="2:71" s="204" customFormat="1" ht="156" customHeight="1" x14ac:dyDescent="0.2">
      <c r="B56" s="314">
        <v>8</v>
      </c>
      <c r="C56" s="308" t="s">
        <v>349</v>
      </c>
      <c r="D56" s="323" t="s">
        <v>93</v>
      </c>
      <c r="E56" s="326" t="s">
        <v>329</v>
      </c>
      <c r="F56" s="326" t="s">
        <v>341</v>
      </c>
      <c r="G56" s="326" t="s">
        <v>342</v>
      </c>
      <c r="H56" s="336" t="s">
        <v>97</v>
      </c>
      <c r="I56" s="300">
        <v>2</v>
      </c>
      <c r="J56" s="303" t="str">
        <f>IF(I56&lt;=0,"",IF(I56&lt;=2,"Muy Baja",IF(I56&lt;=24,"Baja",IF(I56&lt;=500,"Media",IF(I56&lt;=5000,"Alta","Muy Alta")))))</f>
        <v>Muy Baja</v>
      </c>
      <c r="K56" s="345">
        <f>IF(J56="","",IF(J56="Muy Baja",0.2,IF(J56="Baja",0.4,IF(J56="Media",0.6,IF(J56="Alta",0.8,IF(J56="Muy Alta",1,))))))</f>
        <v>0.2</v>
      </c>
      <c r="L56" s="332" t="s">
        <v>159</v>
      </c>
      <c r="M56" s="398" t="str">
        <f>IF(NOT(ISERROR(MATCH(L56,'[1]Tabla Impacto'!$B$225:$B$227,0))),'[1]Tabla Impacto'!$G$227&amp;"Por favor no seleccionar los criterios de impacto(Afectación Económica o presupuestal y Pérdida Reputacional)",L56)</f>
        <v xml:space="preserve">     El riesgo afecta la imagen de la entidad internamente, de conocimiento general, nivel interno, de junta dircetiva y accionistas y/o de provedores</v>
      </c>
      <c r="N56" s="303" t="str">
        <f>IF(OR(M56='[1]Tabla Impacto'!$C$15,M56='[1]Tabla Impacto'!$E$15),"Leve",IF(OR(M56='[1]Tabla Impacto'!$C$16,M56='[1]Tabla Impacto'!$E$16),"Menor",IF(OR(M56='[1]Tabla Impacto'!$C$17,M56='[1]Tabla Impacto'!$E$17),"Moderado",IF(OR(M56='[1]Tabla Impacto'!$C$18,M56='[1]Tabla Impacto'!$E$18),"Mayor",IF(OR(M56='[1]Tabla Impacto'!$C$19,M56='[1]Tabla Impacto'!$E$19),"Catastrófico","")))))</f>
        <v>Menor</v>
      </c>
      <c r="O56" s="345">
        <f>IF(N56="","",IF(N56="Leve",0.2,IF(N56="Menor",0.4,IF(N56="Moderado",0.6,IF(N56="Mayor",0.8,IF(N56="Catastrófico",1,))))))</f>
        <v>0.4</v>
      </c>
      <c r="P56" s="353" t="str">
        <f>IF(OR(AND(J56="Muy Baja",N56="Leve"),AND(J56="Muy Baja",N56="Menor"),AND(J56="Baja",N56="Leve")),"Bajo",IF(OR(AND(J56="Muy baja",N56="Moderado"),AND(J56="Baja",N56="Menor"),AND(J56="Baja",N56="Moderado"),AND(J56="Media",N56="Leve"),AND(J56="Media",N56="Menor"),AND(J56="Media",N56="Moderado"),AND(J56="Alta",N56="Leve"),AND(J56="Alta",N56="Menor")),"Moderado",IF(OR(AND(J56="Muy Baja",N56="Mayor"),AND(J56="Baja",N56="Mayor"),AND(J56="Media",N56="Mayor"),AND(J56="Alta",N56="Moderado"),AND(J56="Alta",N56="Mayor"),AND(J56="Muy Alta",N56="Leve"),AND(J56="Muy Alta",N56="Menor"),AND(J56="Muy Alta",N56="Moderado"),AND(J56="Muy Alta",N56="Mayor")),"Alto",IF(OR(AND(J56="Muy Baja",N56="Catastrófico"),AND(J56="Baja",N56="Catastrófico"),AND(J56="Media",N56="Catastrófico"),AND(J56="Alta",N56="Catastrófico"),AND(J56="Muy Alta",N56="Catastrófico")),"Extremo",""))))</f>
        <v>Bajo</v>
      </c>
      <c r="Q56" s="221">
        <v>1</v>
      </c>
      <c r="R56" s="191" t="s">
        <v>350</v>
      </c>
      <c r="S56" s="205" t="str">
        <f>IF(OR(T56="Preventivo",T56="Detectivo"),"Probabilidad",IF(T56="Correctivo","Impacto",""))</f>
        <v>Impacto</v>
      </c>
      <c r="T56" s="206" t="s">
        <v>185</v>
      </c>
      <c r="U56" s="206" t="s">
        <v>101</v>
      </c>
      <c r="V56" s="207" t="str">
        <f>IF(AND(T56="Preventivo",U56="Automático"),"50%",IF(AND(T56="Preventivo",U56="Manual"),"40%",IF(AND(T56="Detectivo",U56="Automático"),"40%",IF(AND(T56="Detectivo",U56="Manual"),"30%",IF(AND(T56="Correctivo",U56="Automático"),"35%",IF(AND(T56="Correctivo",U56="Manual"),"25%",""))))))</f>
        <v>25%</v>
      </c>
      <c r="W56" s="206" t="s">
        <v>102</v>
      </c>
      <c r="X56" s="206" t="s">
        <v>103</v>
      </c>
      <c r="Y56" s="206" t="s">
        <v>104</v>
      </c>
      <c r="Z56" s="240">
        <f>IFERROR(IF(S56="Probabilidad",(K56-(+K56*V56)),IF(S56="Impacto",K56,"")),"")</f>
        <v>0.2</v>
      </c>
      <c r="AA56" s="208" t="str">
        <f>IFERROR(IF(Z56="","",IF(Z56&lt;=0.2,"Muy Baja",IF(Z56&lt;=0.4,"Baja",IF(Z56&lt;=0.6,"Media",IF(Z56&lt;=0.8,"Alta","Muy Alta"))))),"")</f>
        <v>Muy Baja</v>
      </c>
      <c r="AB56" s="194">
        <f>+Z56</f>
        <v>0.2</v>
      </c>
      <c r="AC56" s="208" t="str">
        <f>IFERROR(IF(AD56="","",IF(AD56&lt;=0.2,"Leve",IF(AD56&lt;=0.4,"Menor",IF(AD56&lt;=0.6,"Moderado",IF(AD56&lt;=0.8,"Mayor","Catastrófico"))))),"")</f>
        <v>Menor</v>
      </c>
      <c r="AD56" s="194">
        <f>IFERROR(IF(S56="Impacto",(O56-(+O56*V56)),IF(S56="Probabilidad",O56,"")),"")</f>
        <v>0.30000000000000004</v>
      </c>
      <c r="AE56" s="209" t="str">
        <f>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Bajo</v>
      </c>
      <c r="AF56" s="193" t="s">
        <v>105</v>
      </c>
      <c r="AG56" s="241" t="s">
        <v>346</v>
      </c>
      <c r="AH56" s="198" t="s">
        <v>347</v>
      </c>
      <c r="AI56" s="199">
        <v>45686</v>
      </c>
      <c r="AJ56" s="199">
        <v>46006</v>
      </c>
      <c r="AK56" s="200"/>
      <c r="AL56" s="201"/>
      <c r="AM56" s="202"/>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3"/>
      <c r="BR56" s="203"/>
      <c r="BS56" s="203"/>
    </row>
    <row r="57" spans="2:71" s="204" customFormat="1" ht="174" customHeight="1" x14ac:dyDescent="0.2">
      <c r="B57" s="315"/>
      <c r="C57" s="309"/>
      <c r="D57" s="324"/>
      <c r="E57" s="327"/>
      <c r="F57" s="327"/>
      <c r="G57" s="327"/>
      <c r="H57" s="337"/>
      <c r="I57" s="301"/>
      <c r="J57" s="304"/>
      <c r="K57" s="346"/>
      <c r="L57" s="333"/>
      <c r="M57" s="399">
        <f>IF(NOT(ISERROR(MATCH(L57,_xlfn.ANCHORARRAY(G20),0))),K22&amp;"Por favor no seleccionar los criterios de impacto",L57)</f>
        <v>0</v>
      </c>
      <c r="N57" s="304"/>
      <c r="O57" s="346"/>
      <c r="P57" s="354"/>
      <c r="Q57" s="190">
        <v>2</v>
      </c>
      <c r="R57" s="191" t="s">
        <v>401</v>
      </c>
      <c r="S57" s="205" t="str">
        <f>IF(OR(T57="Preventivo",T57="Detectivo"),"Probabilidad",IF(T57="Correctivo","Impacto",""))</f>
        <v>Impacto</v>
      </c>
      <c r="T57" s="206" t="s">
        <v>185</v>
      </c>
      <c r="U57" s="206" t="s">
        <v>101</v>
      </c>
      <c r="V57" s="207" t="str">
        <f t="shared" ref="V57:V58" si="40">IF(AND(T57="Preventivo",U57="Automático"),"50%",IF(AND(T57="Preventivo",U57="Manual"),"40%",IF(AND(T57="Detectivo",U57="Automático"),"40%",IF(AND(T57="Detectivo",U57="Manual"),"30%",IF(AND(T57="Correctivo",U57="Automático"),"35%",IF(AND(T57="Correctivo",U57="Manual"),"25%",""))))))</f>
        <v>25%</v>
      </c>
      <c r="W57" s="206" t="s">
        <v>102</v>
      </c>
      <c r="X57" s="206" t="s">
        <v>103</v>
      </c>
      <c r="Y57" s="206" t="s">
        <v>104</v>
      </c>
      <c r="Z57" s="195">
        <f>IFERROR(IF(AND(S56="Probabilidad",S57="Probabilidad"),(AB56-(+AB56*V57)),IF(S57="Probabilidad",(K56-(+K56*V57)),IF(S57="Impacto",AB56,""))),"")</f>
        <v>0.2</v>
      </c>
      <c r="AA57" s="208" t="str">
        <f t="shared" ref="AA57:AA58" si="41">IFERROR(IF(Z57="","",IF(Z57&lt;=0.2,"Muy Baja",IF(Z57&lt;=0.4,"Baja",IF(Z57&lt;=0.6,"Media",IF(Z57&lt;=0.8,"Alta","Muy Alta"))))),"")</f>
        <v>Muy Baja</v>
      </c>
      <c r="AB57" s="194">
        <f t="shared" ref="AB57:AB58" si="42">+Z57</f>
        <v>0.2</v>
      </c>
      <c r="AC57" s="208" t="str">
        <f t="shared" ref="AC57:AC58" si="43">IFERROR(IF(AD57="","",IF(AD57&lt;=0.2,"Leve",IF(AD57&lt;=0.4,"Menor",IF(AD57&lt;=0.6,"Moderado",IF(AD57&lt;=0.8,"Mayor","Catastrófico"))))),"")</f>
        <v>Menor</v>
      </c>
      <c r="AD57" s="194">
        <f>IFERROR(IF(AND(S56="Impacto",S57="Impacto"),(AD56-(+AD56*V57)),IF(S57="Impacto",(O56-(+O56*V57)),IF(S57="Probabilidad",AD56,""))),"")</f>
        <v>0.22500000000000003</v>
      </c>
      <c r="AE57" s="209" t="str">
        <f t="shared" ref="AE57:AE58" si="44">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Bajo</v>
      </c>
      <c r="AF57" s="193" t="s">
        <v>105</v>
      </c>
      <c r="AG57" s="201" t="s">
        <v>402</v>
      </c>
      <c r="AH57" s="198" t="s">
        <v>351</v>
      </c>
      <c r="AI57" s="199">
        <v>45686</v>
      </c>
      <c r="AJ57" s="199">
        <v>46006</v>
      </c>
      <c r="AK57" s="200"/>
      <c r="AL57" s="201"/>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3"/>
      <c r="BR57" s="203"/>
      <c r="BS57" s="203"/>
    </row>
    <row r="58" spans="2:71" s="204" customFormat="1" ht="127.5" customHeight="1" x14ac:dyDescent="0.2">
      <c r="B58" s="315"/>
      <c r="C58" s="309"/>
      <c r="D58" s="324"/>
      <c r="E58" s="327"/>
      <c r="F58" s="327"/>
      <c r="G58" s="327"/>
      <c r="H58" s="337"/>
      <c r="I58" s="301"/>
      <c r="J58" s="304"/>
      <c r="K58" s="346"/>
      <c r="L58" s="333"/>
      <c r="M58" s="399">
        <f>IF(NOT(ISERROR(MATCH(L58,_xlfn.ANCHORARRAY(G21),0))),K23&amp;"Por favor no seleccionar los criterios de impacto",L58)</f>
        <v>0</v>
      </c>
      <c r="N58" s="304"/>
      <c r="O58" s="346"/>
      <c r="P58" s="354"/>
      <c r="Q58" s="190">
        <v>3</v>
      </c>
      <c r="R58" s="191" t="s">
        <v>353</v>
      </c>
      <c r="S58" s="205" t="s">
        <v>110</v>
      </c>
      <c r="T58" s="206" t="s">
        <v>334</v>
      </c>
      <c r="U58" s="206" t="s">
        <v>101</v>
      </c>
      <c r="V58" s="207" t="str">
        <f t="shared" si="40"/>
        <v>40%</v>
      </c>
      <c r="W58" s="206" t="s">
        <v>102</v>
      </c>
      <c r="X58" s="206" t="s">
        <v>103</v>
      </c>
      <c r="Y58" s="206" t="s">
        <v>104</v>
      </c>
      <c r="Z58" s="195">
        <f>IFERROR(IF(AND(S57="Probabilidad",S58="Probabilidad"),(AB57-(+AB57*V58)),IF(S58="Probabilidad",(K57-(+K57*V58)),IF(S58="Impacto",AB57,""))),"")</f>
        <v>0</v>
      </c>
      <c r="AA58" s="208" t="str">
        <f t="shared" si="41"/>
        <v>Muy Baja</v>
      </c>
      <c r="AB58" s="194">
        <f t="shared" si="42"/>
        <v>0</v>
      </c>
      <c r="AC58" s="208" t="str">
        <f t="shared" si="43"/>
        <v>Menor</v>
      </c>
      <c r="AD58" s="194">
        <f>IFERROR(IF(AND(S57="Impacto",S58="Impacto"),(AD57-(+AD57*V58)),IF(S58="Impacto",(O57-(+O57*V58)),IF(S58="Probabilidad",AD57,""))),"")</f>
        <v>0.22500000000000003</v>
      </c>
      <c r="AE58" s="209" t="str">
        <f t="shared" si="44"/>
        <v>Bajo</v>
      </c>
      <c r="AF58" s="193" t="s">
        <v>105</v>
      </c>
      <c r="AG58" s="198" t="s">
        <v>360</v>
      </c>
      <c r="AH58" s="198" t="s">
        <v>352</v>
      </c>
      <c r="AI58" s="199">
        <v>45686</v>
      </c>
      <c r="AJ58" s="199">
        <v>46006</v>
      </c>
      <c r="AK58" s="200"/>
      <c r="AL58" s="201"/>
      <c r="AM58" s="202"/>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3"/>
      <c r="BR58" s="203"/>
      <c r="BS58" s="203"/>
    </row>
    <row r="59" spans="2:71" s="204" customFormat="1" ht="165" customHeight="1" x14ac:dyDescent="0.2">
      <c r="B59" s="315"/>
      <c r="C59" s="309"/>
      <c r="D59" s="324"/>
      <c r="E59" s="327"/>
      <c r="F59" s="327"/>
      <c r="G59" s="327"/>
      <c r="H59" s="337"/>
      <c r="I59" s="301"/>
      <c r="J59" s="304"/>
      <c r="K59" s="346"/>
      <c r="L59" s="333"/>
      <c r="M59" s="399">
        <f>IF(NOT(ISERROR(MATCH(L59,_xlfn.ANCHORARRAY(G22),0))),K24&amp;"Por favor no seleccionar los criterios de impacto",L59)</f>
        <v>0</v>
      </c>
      <c r="N59" s="304"/>
      <c r="O59" s="346"/>
      <c r="P59" s="354"/>
      <c r="Q59" s="190">
        <v>4</v>
      </c>
      <c r="R59" s="242" t="s">
        <v>361</v>
      </c>
      <c r="S59" s="192" t="str">
        <f>IF(OR(T59="Preventivo",T59="Detectivo"),"Probabilidad",IF(T59="Correctivo","Impacto",""))</f>
        <v>Probabilidad</v>
      </c>
      <c r="T59" s="193" t="s">
        <v>100</v>
      </c>
      <c r="U59" s="193" t="s">
        <v>101</v>
      </c>
      <c r="V59" s="194" t="str">
        <f>IF(AND(T59="Preventivo",U59="Automático"),"50%",IF(AND(T59="Preventivo",U59="Manual"),"40%",IF(AND(T59="Detectivo",U59="Automático"),"40%",IF(AND(T59="Detectivo",U59="Manual"),"30%",IF(AND(T59="Correctivo",U59="Automático"),"35%",IF(AND(T59="Correctivo",U59="Manual"),"25%",""))))))</f>
        <v>40%</v>
      </c>
      <c r="W59" s="193" t="s">
        <v>102</v>
      </c>
      <c r="X59" s="193" t="s">
        <v>103</v>
      </c>
      <c r="Y59" s="193" t="s">
        <v>104</v>
      </c>
      <c r="Z59" s="195">
        <f>IFERROR(IF(S59="Probabilidad",(K59-(+K59*V59)),IF(S59="Impacto",K59,"")),"")</f>
        <v>0</v>
      </c>
      <c r="AA59" s="196" t="str">
        <f>IFERROR(IF(Z59="","",IF(Z59&lt;=0.2,"Muy Baja",IF(Z59&lt;=0.4,"Baja",IF(Z59&lt;=0.6,"Media",IF(Z59&lt;=0.8,"Alta","Muy Alta"))))),"")</f>
        <v>Muy Baja</v>
      </c>
      <c r="AB59" s="194">
        <f>+Z59</f>
        <v>0</v>
      </c>
      <c r="AC59" s="196" t="str">
        <f>IFERROR(IF(AD59="","",IF(AD59&lt;=0.2,"Leve",IF(AD59&lt;=0.4,"Menor",IF(AD59&lt;=0.6,"Moderado",IF(AD59&lt;=0.8,"Mayor","Catastrófico"))))),"")</f>
        <v>Leve</v>
      </c>
      <c r="AD59" s="194">
        <f>IFERROR(IF(S59="Impacto",(O59-(+O59*V59)),IF(S59="Probabilidad",O59,"")),"")</f>
        <v>0</v>
      </c>
      <c r="AE59" s="197" t="str">
        <f>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Bajo</v>
      </c>
      <c r="AF59" s="193" t="s">
        <v>105</v>
      </c>
      <c r="AG59" s="241" t="s">
        <v>346</v>
      </c>
      <c r="AH59" s="198" t="s">
        <v>347</v>
      </c>
      <c r="AI59" s="199">
        <v>45686</v>
      </c>
      <c r="AJ59" s="199">
        <v>46006</v>
      </c>
      <c r="AK59" s="200"/>
      <c r="AL59" s="201"/>
      <c r="AM59" s="202"/>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3"/>
      <c r="BR59" s="203"/>
      <c r="BS59" s="203"/>
    </row>
    <row r="60" spans="2:71" s="204" customFormat="1" ht="18" customHeight="1" x14ac:dyDescent="0.2">
      <c r="B60" s="315"/>
      <c r="C60" s="309"/>
      <c r="D60" s="324"/>
      <c r="E60" s="327"/>
      <c r="F60" s="327"/>
      <c r="G60" s="327"/>
      <c r="H60" s="337"/>
      <c r="I60" s="301"/>
      <c r="J60" s="304"/>
      <c r="K60" s="346"/>
      <c r="L60" s="333"/>
      <c r="M60" s="399">
        <f>IF(NOT(ISERROR(MATCH(L60,_xlfn.ANCHORARRAY(G23),0))),K25&amp;"Por favor no seleccionar los criterios de impacto",L60)</f>
        <v>0</v>
      </c>
      <c r="N60" s="304"/>
      <c r="O60" s="346"/>
      <c r="P60" s="354"/>
      <c r="Q60" s="190">
        <v>5</v>
      </c>
      <c r="R60" s="191"/>
      <c r="S60" s="212"/>
      <c r="T60" s="213"/>
      <c r="U60" s="213"/>
      <c r="V60" s="214"/>
      <c r="W60" s="213"/>
      <c r="X60" s="213"/>
      <c r="Y60" s="213"/>
      <c r="Z60" s="215"/>
      <c r="AA60" s="216"/>
      <c r="AB60" s="217"/>
      <c r="AC60" s="216"/>
      <c r="AD60" s="217"/>
      <c r="AE60" s="218"/>
      <c r="AF60" s="219"/>
      <c r="AG60" s="201"/>
      <c r="AH60" s="220"/>
      <c r="AI60" s="200"/>
      <c r="AJ60" s="200"/>
      <c r="AK60" s="200"/>
      <c r="AL60" s="201"/>
      <c r="AM60" s="202"/>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3"/>
      <c r="BR60" s="203"/>
      <c r="BS60" s="203"/>
    </row>
    <row r="61" spans="2:71" s="204" customFormat="1" ht="81.75" customHeight="1" x14ac:dyDescent="0.2">
      <c r="B61" s="316"/>
      <c r="C61" s="310"/>
      <c r="D61" s="325"/>
      <c r="E61" s="328"/>
      <c r="F61" s="328"/>
      <c r="G61" s="328"/>
      <c r="H61" s="338"/>
      <c r="I61" s="351"/>
      <c r="J61" s="307"/>
      <c r="K61" s="347"/>
      <c r="L61" s="352"/>
      <c r="M61" s="400">
        <f>IF(NOT(ISERROR(MATCH(L61,_xlfn.ANCHORARRAY(G24),0))),K62&amp;"Por favor no seleccionar los criterios de impacto",L61)</f>
        <v>0</v>
      </c>
      <c r="N61" s="307"/>
      <c r="O61" s="347"/>
      <c r="P61" s="355"/>
      <c r="Q61" s="190">
        <v>6</v>
      </c>
      <c r="R61" s="191"/>
      <c r="S61" s="212"/>
      <c r="T61" s="213"/>
      <c r="U61" s="213"/>
      <c r="V61" s="214"/>
      <c r="W61" s="213"/>
      <c r="X61" s="213"/>
      <c r="Y61" s="213"/>
      <c r="Z61" s="215"/>
      <c r="AA61" s="216"/>
      <c r="AB61" s="217"/>
      <c r="AC61" s="216"/>
      <c r="AD61" s="217"/>
      <c r="AE61" s="218"/>
      <c r="AF61" s="219"/>
      <c r="AG61" s="201"/>
      <c r="AH61" s="220"/>
      <c r="AI61" s="200"/>
      <c r="AJ61" s="200"/>
      <c r="AK61" s="200"/>
      <c r="AL61" s="201"/>
      <c r="AM61" s="202"/>
      <c r="AN61" s="203"/>
      <c r="AO61" s="203"/>
      <c r="AP61" s="203"/>
      <c r="AQ61" s="203"/>
      <c r="AR61" s="203"/>
      <c r="AS61" s="203"/>
      <c r="AT61" s="203"/>
      <c r="AU61" s="203"/>
      <c r="AV61" s="203"/>
      <c r="AW61" s="203"/>
      <c r="AX61" s="203"/>
      <c r="AY61" s="203"/>
      <c r="AZ61" s="203"/>
      <c r="BA61" s="203"/>
      <c r="BB61" s="203"/>
      <c r="BC61" s="203"/>
      <c r="BD61" s="203"/>
      <c r="BE61" s="203"/>
      <c r="BF61" s="203"/>
      <c r="BG61" s="203"/>
      <c r="BH61" s="203"/>
      <c r="BI61" s="203"/>
      <c r="BJ61" s="203"/>
      <c r="BK61" s="203"/>
      <c r="BL61" s="203"/>
      <c r="BM61" s="203"/>
      <c r="BN61" s="203"/>
      <c r="BO61" s="203"/>
      <c r="BP61" s="203"/>
      <c r="BQ61" s="203"/>
      <c r="BR61" s="203"/>
      <c r="BS61" s="203"/>
    </row>
    <row r="62" spans="2:71" s="204" customFormat="1" ht="129.75" customHeight="1" x14ac:dyDescent="0.2">
      <c r="B62" s="314">
        <v>9</v>
      </c>
      <c r="C62" s="308" t="s">
        <v>363</v>
      </c>
      <c r="D62" s="297" t="s">
        <v>93</v>
      </c>
      <c r="E62" s="297" t="s">
        <v>364</v>
      </c>
      <c r="F62" s="297" t="s">
        <v>365</v>
      </c>
      <c r="G62" s="297" t="s">
        <v>366</v>
      </c>
      <c r="H62" s="297"/>
      <c r="I62" s="300">
        <v>1</v>
      </c>
      <c r="J62" s="303" t="str">
        <f>IF(I62&lt;=0,"",IF(I62&lt;=2,"Muy Baja",IF(I62&lt;=24,"Baja",IF(I62&lt;=500,"Media",IF(I62&lt;=5000,"Alta","Muy Alta")))))</f>
        <v>Muy Baja</v>
      </c>
      <c r="K62" s="345">
        <f>IF(J62="","",IF(J62="Muy Baja",0.2,IF(J62="Baja",0.4,IF(J62="Media",0.6,IF(J62="Alta",0.8,IF(J62="Muy Alta",1,))))))</f>
        <v>0.2</v>
      </c>
      <c r="L62" s="332" t="s">
        <v>156</v>
      </c>
      <c r="M62" s="345" t="str">
        <f>IF(NOT(ISERROR(MATCH(L62,'Tabla Impacto'!$B$225:$B$227,0))),'Tabla Impacto'!$G$227&amp;"Por favor no seleccionar los criterios de impacto(Afectación Económica o presupuestal y Pérdida Reputacional)",L62)</f>
        <v xml:space="preserve">     El riesgo afecta la imagen de alguna área de la organización</v>
      </c>
      <c r="N62" s="303" t="str">
        <f>IF(OR(M62='Tabla Impacto'!$C$15,M62='Tabla Impacto'!$E$15),"Leve",IF(OR(M62='Tabla Impacto'!$C$16,M62='Tabla Impacto'!$E$16),"Menor",IF(OR(M62='Tabla Impacto'!$C$17,M62='Tabla Impacto'!$E$17),"Moderado",IF(OR(M62='Tabla Impacto'!$C$18,M62='Tabla Impacto'!$E$18),"Mayor",IF(OR(M62='Tabla Impacto'!$C$19,M62='Tabla Impacto'!$E$19),"Catastrófico","")))))</f>
        <v>Leve</v>
      </c>
      <c r="O62" s="345">
        <f>IF(N62="","",IF(N62="Leve",0.2,IF(N62="Menor",0.4,IF(N62="Moderado",0.6,IF(N62="Mayor",0.8,IF(N62="Catastrófico",1,))))))</f>
        <v>0.2</v>
      </c>
      <c r="P62" s="353" t="str">
        <f>IF(OR(AND(J62="Muy Baja",N62="Leve"),AND(J62="Muy Baja",N62="Menor"),AND(J62="Baja",N62="Leve")),"Bajo",IF(OR(AND(J62="Muy baja",N62="Moderado"),AND(J62="Baja",N62="Menor"),AND(J62="Baja",N62="Moderado"),AND(J62="Media",N62="Leve"),AND(J62="Media",N62="Menor"),AND(J62="Media",N62="Moderado"),AND(J62="Alta",N62="Leve"),AND(J62="Alta",N62="Menor")),"Moderado",IF(OR(AND(J62="Muy Baja",N62="Mayor"),AND(J62="Baja",N62="Mayor"),AND(J62="Media",N62="Mayor"),AND(J62="Alta",N62="Moderado"),AND(J62="Alta",N62="Mayor"),AND(J62="Muy Alta",N62="Leve"),AND(J62="Muy Alta",N62="Menor"),AND(J62="Muy Alta",N62="Moderado"),AND(J62="Muy Alta",N62="Mayor")),"Alto",IF(OR(AND(J62="Muy Baja",N62="Catastrófico"),AND(J62="Baja",N62="Catastrófico"),AND(J62="Media",N62="Catastrófico"),AND(J62="Alta",N62="Catastrófico"),AND(J62="Muy Alta",N62="Catastrófico")),"Extremo",""))))</f>
        <v>Bajo</v>
      </c>
      <c r="Q62" s="221">
        <v>1</v>
      </c>
      <c r="R62" s="191" t="s">
        <v>397</v>
      </c>
      <c r="S62" s="205" t="s">
        <v>110</v>
      </c>
      <c r="T62" s="193" t="s">
        <v>100</v>
      </c>
      <c r="U62" s="193" t="s">
        <v>101</v>
      </c>
      <c r="V62" s="194" t="str">
        <f>IF(AND(T62="Preventivo",U62="Automático"),"50%",IF(AND(T62="Preventivo",U62="Manual"),"40%",IF(AND(T62="Detectivo",U62="Automático"),"40%",IF(AND(T62="Detectivo",U62="Manual"),"30%",IF(AND(T62="Correctivo",U62="Automático"),"35%",IF(AND(T62="Correctivo",U62="Manual"),"25%",""))))))</f>
        <v>40%</v>
      </c>
      <c r="W62" s="193" t="s">
        <v>102</v>
      </c>
      <c r="X62" s="193" t="s">
        <v>103</v>
      </c>
      <c r="Y62" s="193" t="s">
        <v>104</v>
      </c>
      <c r="Z62" s="195">
        <f>IFERROR(IF(S62="Probabilidad",(K62-(+K62*V62)),IF(S62="Impacto",K62,"")),"")</f>
        <v>0.12</v>
      </c>
      <c r="AA62" s="196" t="str">
        <f>IFERROR(IF(Z62="","",IF(Z62&lt;=0.2,"Muy Baja",IF(Z62&lt;=0.4,"Baja",IF(Z62&lt;=0.6,"Media",IF(Z62&lt;=0.8,"Alta","Muy Alta"))))),"")</f>
        <v>Muy Baja</v>
      </c>
      <c r="AB62" s="194">
        <f>+Z62</f>
        <v>0.12</v>
      </c>
      <c r="AC62" s="196" t="str">
        <f>IFERROR(IF(AD62="","",IF(AD62&lt;=0.2,"Leve",IF(AD62&lt;=0.4,"Menor",IF(AD62&lt;=0.6,"Moderado",IF(AD62&lt;=0.8,"Mayor","Catastrófico"))))),"")</f>
        <v>Leve</v>
      </c>
      <c r="AD62" s="194">
        <f>IFERROR(IF(S62="Impacto",(O62-(+O62*V62)),IF(S62="Probabilidad",O62,"")),"")</f>
        <v>0.2</v>
      </c>
      <c r="AE62" s="197" t="str">
        <f>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Bajo</v>
      </c>
      <c r="AF62" s="193" t="s">
        <v>105</v>
      </c>
      <c r="AG62" s="198" t="s">
        <v>367</v>
      </c>
      <c r="AH62" s="198" t="s">
        <v>398</v>
      </c>
      <c r="AI62" s="199">
        <v>45686</v>
      </c>
      <c r="AJ62" s="199">
        <v>46006</v>
      </c>
      <c r="AK62" s="200"/>
      <c r="AL62" s="201"/>
      <c r="AM62" s="202"/>
      <c r="AN62" s="203"/>
      <c r="AO62" s="203"/>
      <c r="AP62" s="203"/>
      <c r="AQ62" s="203"/>
      <c r="AR62" s="203"/>
      <c r="AS62" s="203"/>
      <c r="AT62" s="203"/>
      <c r="AU62" s="203"/>
      <c r="AV62" s="203"/>
      <c r="AW62" s="203"/>
      <c r="AX62" s="203"/>
      <c r="AY62" s="203"/>
      <c r="AZ62" s="203"/>
      <c r="BA62" s="203"/>
      <c r="BB62" s="203"/>
      <c r="BC62" s="203"/>
      <c r="BD62" s="203"/>
      <c r="BE62" s="203"/>
      <c r="BF62" s="203"/>
      <c r="BG62" s="203"/>
      <c r="BH62" s="203"/>
      <c r="BI62" s="203"/>
      <c r="BJ62" s="203"/>
      <c r="BK62" s="203"/>
      <c r="BL62" s="203"/>
      <c r="BM62" s="203"/>
      <c r="BN62" s="203"/>
      <c r="BO62" s="203"/>
      <c r="BP62" s="203"/>
      <c r="BQ62" s="203"/>
      <c r="BR62" s="203"/>
      <c r="BS62" s="203"/>
    </row>
    <row r="63" spans="2:71" s="204" customFormat="1" ht="18" customHeight="1" x14ac:dyDescent="0.2">
      <c r="B63" s="315"/>
      <c r="C63" s="309"/>
      <c r="D63" s="298"/>
      <c r="E63" s="298"/>
      <c r="F63" s="298"/>
      <c r="G63" s="298"/>
      <c r="H63" s="298"/>
      <c r="I63" s="301"/>
      <c r="J63" s="304"/>
      <c r="K63" s="346"/>
      <c r="L63" s="333"/>
      <c r="M63" s="346">
        <f>IF(NOT(ISERROR(MATCH(L63,_xlfn.ANCHORARRAY(G86),0))),K88&amp;"Por favor no seleccionar los criterios de impacto",L63)</f>
        <v>0</v>
      </c>
      <c r="N63" s="304"/>
      <c r="O63" s="346"/>
      <c r="P63" s="354"/>
      <c r="Q63" s="190">
        <v>2</v>
      </c>
      <c r="R63" s="191"/>
      <c r="S63" s="212" t="str">
        <f>IF(OR(T63="Preventivo",T63="Detectivo"),"Probabilidad",IF(T63="Correctivo","Impacto",""))</f>
        <v/>
      </c>
      <c r="T63" s="213"/>
      <c r="U63" s="213"/>
      <c r="V63" s="214" t="str">
        <f t="shared" ref="V63:V67" si="45">IF(AND(T63="Preventivo",U63="Automático"),"50%",IF(AND(T63="Preventivo",U63="Manual"),"40%",IF(AND(T63="Detectivo",U63="Automático"),"40%",IF(AND(T63="Detectivo",U63="Manual"),"30%",IF(AND(T63="Correctivo",U63="Automático"),"35%",IF(AND(T63="Correctivo",U63="Manual"),"25%",""))))))</f>
        <v/>
      </c>
      <c r="W63" s="213"/>
      <c r="X63" s="213"/>
      <c r="Y63" s="213"/>
      <c r="Z63" s="215" t="str">
        <f>IFERROR(IF(AND(S62="Probabilidad",S63="Probabilidad"),(AB62-(+AB62*V63)),IF(S63="Probabilidad",(K62-(+K62*V63)),IF(S63="Impacto",AB62,""))),"")</f>
        <v/>
      </c>
      <c r="AA63" s="216" t="str">
        <f t="shared" ref="AA63:AA73" si="46">IFERROR(IF(Z63="","",IF(Z63&lt;=0.2,"Muy Baja",IF(Z63&lt;=0.4,"Baja",IF(Z63&lt;=0.6,"Media",IF(Z63&lt;=0.8,"Alta","Muy Alta"))))),"")</f>
        <v/>
      </c>
      <c r="AB63" s="217" t="str">
        <f t="shared" ref="AB63:AB67" si="47">+Z63</f>
        <v/>
      </c>
      <c r="AC63" s="216" t="str">
        <f t="shared" ref="AC63:AC73" si="48">IFERROR(IF(AD63="","",IF(AD63&lt;=0.2,"Leve",IF(AD63&lt;=0.4,"Menor",IF(AD63&lt;=0.6,"Moderado",IF(AD63&lt;=0.8,"Mayor","Catastrófico"))))),"")</f>
        <v/>
      </c>
      <c r="AD63" s="217" t="str">
        <f>IFERROR(IF(AND(S62="Impacto",S63="Impacto"),(AD62-(+AD62*V63)),IF(S63="Impacto",(O62-(+O62*V63)),IF(S63="Probabilidad",AD62,""))),"")</f>
        <v/>
      </c>
      <c r="AE63" s="218" t="str">
        <f t="shared" ref="AE63:AE64" si="49">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219"/>
      <c r="AG63" s="201"/>
      <c r="AH63" s="220"/>
      <c r="AI63" s="200"/>
      <c r="AJ63" s="200"/>
      <c r="AK63" s="200"/>
      <c r="AL63" s="201"/>
      <c r="AM63" s="202"/>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3"/>
      <c r="BR63" s="203"/>
      <c r="BS63" s="203"/>
    </row>
    <row r="64" spans="2:71" s="204" customFormat="1" ht="18" customHeight="1" x14ac:dyDescent="0.2">
      <c r="B64" s="315"/>
      <c r="C64" s="309"/>
      <c r="D64" s="298"/>
      <c r="E64" s="298"/>
      <c r="F64" s="298"/>
      <c r="G64" s="298"/>
      <c r="H64" s="298"/>
      <c r="I64" s="301"/>
      <c r="J64" s="304"/>
      <c r="K64" s="346"/>
      <c r="L64" s="333"/>
      <c r="M64" s="346">
        <f>IF(NOT(ISERROR(MATCH(L64,_xlfn.ANCHORARRAY(G87),0))),K89&amp;"Por favor no seleccionar los criterios de impacto",L64)</f>
        <v>0</v>
      </c>
      <c r="N64" s="304"/>
      <c r="O64" s="346"/>
      <c r="P64" s="354"/>
      <c r="Q64" s="190">
        <v>3</v>
      </c>
      <c r="R64" s="210"/>
      <c r="S64" s="212" t="str">
        <f>IF(OR(T64="Preventivo",T64="Detectivo"),"Probabilidad",IF(T64="Correctivo","Impacto",""))</f>
        <v/>
      </c>
      <c r="T64" s="213"/>
      <c r="U64" s="213"/>
      <c r="V64" s="214" t="str">
        <f t="shared" si="45"/>
        <v/>
      </c>
      <c r="W64" s="213"/>
      <c r="X64" s="213"/>
      <c r="Y64" s="213"/>
      <c r="Z64" s="215" t="str">
        <f>IFERROR(IF(AND(S63="Probabilidad",S64="Probabilidad"),(AB63-(+AB63*V64)),IF(AND(S63="Impacto",S64="Probabilidad"),(AB62-(+AB62*V64)),IF(S64="Impacto",AB63,""))),"")</f>
        <v/>
      </c>
      <c r="AA64" s="216" t="str">
        <f t="shared" si="46"/>
        <v/>
      </c>
      <c r="AB64" s="217" t="str">
        <f t="shared" si="47"/>
        <v/>
      </c>
      <c r="AC64" s="216" t="str">
        <f t="shared" si="48"/>
        <v/>
      </c>
      <c r="AD64" s="217" t="str">
        <f>IFERROR(IF(AND(S63="Impacto",S64="Impacto"),(AD63-(+AD63*V64)),IF(AND(S63="Probabilidad",S64="Impacto"),(AD62-(+AD62*V64)),IF(S64="Probabilidad",AD63,""))),"")</f>
        <v/>
      </c>
      <c r="AE64" s="218" t="str">
        <f t="shared" si="49"/>
        <v/>
      </c>
      <c r="AF64" s="219"/>
      <c r="AG64" s="201"/>
      <c r="AH64" s="220"/>
      <c r="AI64" s="200"/>
      <c r="AJ64" s="200"/>
      <c r="AK64" s="200"/>
      <c r="AL64" s="201"/>
      <c r="AM64" s="202"/>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3"/>
      <c r="BR64" s="203"/>
      <c r="BS64" s="203"/>
    </row>
    <row r="65" spans="2:71" s="204" customFormat="1" ht="18" customHeight="1" x14ac:dyDescent="0.2">
      <c r="B65" s="315"/>
      <c r="C65" s="309"/>
      <c r="D65" s="298"/>
      <c r="E65" s="298"/>
      <c r="F65" s="298"/>
      <c r="G65" s="298"/>
      <c r="H65" s="298"/>
      <c r="I65" s="301"/>
      <c r="J65" s="304"/>
      <c r="K65" s="346"/>
      <c r="L65" s="333"/>
      <c r="M65" s="346">
        <f>IF(NOT(ISERROR(MATCH(L65,_xlfn.ANCHORARRAY(G88),0))),#REF!&amp;"Por favor no seleccionar los criterios de impacto",L65)</f>
        <v>0</v>
      </c>
      <c r="N65" s="304"/>
      <c r="O65" s="346"/>
      <c r="P65" s="354"/>
      <c r="Q65" s="190">
        <v>4</v>
      </c>
      <c r="R65" s="191"/>
      <c r="S65" s="212" t="str">
        <f t="shared" ref="S65:S67" si="50">IF(OR(T65="Preventivo",T65="Detectivo"),"Probabilidad",IF(T65="Correctivo","Impacto",""))</f>
        <v/>
      </c>
      <c r="T65" s="213"/>
      <c r="U65" s="213"/>
      <c r="V65" s="214" t="str">
        <f t="shared" si="45"/>
        <v/>
      </c>
      <c r="W65" s="213"/>
      <c r="X65" s="213"/>
      <c r="Y65" s="213"/>
      <c r="Z65" s="215" t="str">
        <f t="shared" ref="Z65:Z66" si="51">IFERROR(IF(AND(S64="Probabilidad",S65="Probabilidad"),(AB64-(+AB64*V65)),IF(AND(S64="Impacto",S65="Probabilidad"),(AB63-(+AB63*V65)),IF(S65="Impacto",AB64,""))),"")</f>
        <v/>
      </c>
      <c r="AA65" s="216" t="str">
        <f t="shared" si="46"/>
        <v/>
      </c>
      <c r="AB65" s="217" t="str">
        <f t="shared" si="47"/>
        <v/>
      </c>
      <c r="AC65" s="216" t="str">
        <f t="shared" si="48"/>
        <v/>
      </c>
      <c r="AD65" s="217" t="str">
        <f t="shared" ref="AD65:AD66" si="52">IFERROR(IF(AND(S64="Impacto",S65="Impacto"),(AD64-(+AD64*V65)),IF(AND(S64="Probabilidad",S65="Impacto"),(AD63-(+AD63*V65)),IF(S65="Probabilidad",AD64,""))),"")</f>
        <v/>
      </c>
      <c r="AE65" s="218" t="str">
        <f>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219"/>
      <c r="AG65" s="201"/>
      <c r="AH65" s="220"/>
      <c r="AI65" s="200"/>
      <c r="AJ65" s="200"/>
      <c r="AK65" s="200"/>
      <c r="AL65" s="201"/>
      <c r="AM65" s="202"/>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3"/>
      <c r="BR65" s="203"/>
      <c r="BS65" s="203"/>
    </row>
    <row r="66" spans="2:71" s="204" customFormat="1" ht="18" customHeight="1" x14ac:dyDescent="0.2">
      <c r="B66" s="315"/>
      <c r="C66" s="309"/>
      <c r="D66" s="298"/>
      <c r="E66" s="298"/>
      <c r="F66" s="298"/>
      <c r="G66" s="298"/>
      <c r="H66" s="298"/>
      <c r="I66" s="301"/>
      <c r="J66" s="304"/>
      <c r="K66" s="346"/>
      <c r="L66" s="333"/>
      <c r="M66" s="346">
        <f>IF(NOT(ISERROR(MATCH(L66,_xlfn.ANCHORARRAY(G89),0))),#REF!&amp;"Por favor no seleccionar los criterios de impacto",L66)</f>
        <v>0</v>
      </c>
      <c r="N66" s="304"/>
      <c r="O66" s="346"/>
      <c r="P66" s="354"/>
      <c r="Q66" s="190">
        <v>5</v>
      </c>
      <c r="R66" s="191"/>
      <c r="S66" s="212" t="str">
        <f t="shared" si="50"/>
        <v/>
      </c>
      <c r="T66" s="213"/>
      <c r="U66" s="213"/>
      <c r="V66" s="214" t="str">
        <f t="shared" si="45"/>
        <v/>
      </c>
      <c r="W66" s="213"/>
      <c r="X66" s="213"/>
      <c r="Y66" s="213"/>
      <c r="Z66" s="215" t="str">
        <f t="shared" si="51"/>
        <v/>
      </c>
      <c r="AA66" s="216" t="str">
        <f t="shared" si="46"/>
        <v/>
      </c>
      <c r="AB66" s="217" t="str">
        <f t="shared" si="47"/>
        <v/>
      </c>
      <c r="AC66" s="216" t="str">
        <f t="shared" si="48"/>
        <v/>
      </c>
      <c r="AD66" s="217" t="str">
        <f t="shared" si="52"/>
        <v/>
      </c>
      <c r="AE66" s="218" t="str">
        <f t="shared" ref="AE66:AE67" si="53">IFERROR(IF(OR(AND(AA66="Muy Baja",AC66="Leve"),AND(AA66="Muy Baja",AC66="Menor"),AND(AA66="Baja",AC66="Leve")),"Bajo",IF(OR(AND(AA66="Muy baja",AC66="Moderado"),AND(AA66="Baja",AC66="Menor"),AND(AA66="Baja",AC66="Moderado"),AND(AA66="Media",AC66="Leve"),AND(AA66="Media",AC66="Menor"),AND(AA66="Media",AC66="Moderado"),AND(AA66="Alta",AC66="Leve"),AND(AA66="Alta",AC66="Menor")),"Moderado",IF(OR(AND(AA66="Muy Baja",AC66="Mayor"),AND(AA66="Baja",AC66="Mayor"),AND(AA66="Media",AC66="Mayor"),AND(AA66="Alta",AC66="Moderado"),AND(AA66="Alta",AC66="Mayor"),AND(AA66="Muy Alta",AC66="Leve"),AND(AA66="Muy Alta",AC66="Menor"),AND(AA66="Muy Alta",AC66="Moderado"),AND(AA66="Muy Alta",AC66="Mayor")),"Alto",IF(OR(AND(AA66="Muy Baja",AC66="Catastrófico"),AND(AA66="Baja",AC66="Catastrófico"),AND(AA66="Media",AC66="Catastrófico"),AND(AA66="Alta",AC66="Catastrófico"),AND(AA66="Muy Alta",AC66="Catastrófico")),"Extremo","")))),"")</f>
        <v/>
      </c>
      <c r="AF66" s="219"/>
      <c r="AG66" s="201"/>
      <c r="AH66" s="220"/>
      <c r="AI66" s="200"/>
      <c r="AJ66" s="200"/>
      <c r="AK66" s="200"/>
      <c r="AL66" s="201"/>
      <c r="AM66" s="202"/>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3"/>
      <c r="BR66" s="203"/>
      <c r="BS66" s="203"/>
    </row>
    <row r="67" spans="2:71" s="204" customFormat="1" ht="18" customHeight="1" thickBot="1" x14ac:dyDescent="0.25">
      <c r="B67" s="322"/>
      <c r="C67" s="317"/>
      <c r="D67" s="299"/>
      <c r="E67" s="299"/>
      <c r="F67" s="299"/>
      <c r="G67" s="299"/>
      <c r="H67" s="299"/>
      <c r="I67" s="302"/>
      <c r="J67" s="305"/>
      <c r="K67" s="356"/>
      <c r="L67" s="334"/>
      <c r="M67" s="356">
        <f>IF(NOT(ISERROR(MATCH(L67,_xlfn.ANCHORARRAY(#REF!),0))),#REF!&amp;"Por favor no seleccionar los criterios de impacto",L67)</f>
        <v>0</v>
      </c>
      <c r="N67" s="305"/>
      <c r="O67" s="356"/>
      <c r="P67" s="357"/>
      <c r="Q67" s="243">
        <v>6</v>
      </c>
      <c r="R67" s="244"/>
      <c r="S67" s="245" t="str">
        <f t="shared" si="50"/>
        <v/>
      </c>
      <c r="T67" s="246"/>
      <c r="U67" s="246"/>
      <c r="V67" s="247" t="str">
        <f t="shared" si="45"/>
        <v/>
      </c>
      <c r="W67" s="246"/>
      <c r="X67" s="246"/>
      <c r="Y67" s="246"/>
      <c r="Z67" s="248" t="str">
        <f>IFERROR(IF(AND(S66="Probabilidad",S67="Probabilidad"),(AB66-(+AB66*V67)),IF(AND(S66="Impacto",S67="Probabilidad"),(AB65-(+AB65*V67)),IF(S67="Impacto",AB66,""))),"")</f>
        <v/>
      </c>
      <c r="AA67" s="249" t="str">
        <f t="shared" si="46"/>
        <v/>
      </c>
      <c r="AB67" s="247" t="str">
        <f t="shared" si="47"/>
        <v/>
      </c>
      <c r="AC67" s="249" t="str">
        <f t="shared" si="48"/>
        <v/>
      </c>
      <c r="AD67" s="247" t="str">
        <f>IFERROR(IF(AND(S66="Impacto",S67="Impacto"),(AD66-(+AD66*V67)),IF(AND(S66="Probabilidad",S67="Impacto"),(AD65-(+AD65*V67)),IF(S67="Probabilidad",AD66,""))),"")</f>
        <v/>
      </c>
      <c r="AE67" s="250" t="str">
        <f t="shared" si="53"/>
        <v/>
      </c>
      <c r="AF67" s="246"/>
      <c r="AG67" s="251"/>
      <c r="AH67" s="252"/>
      <c r="AI67" s="253"/>
      <c r="AJ67" s="253"/>
      <c r="AK67" s="253"/>
      <c r="AL67" s="251"/>
      <c r="AM67" s="254"/>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3"/>
      <c r="BR67" s="203"/>
      <c r="BS67" s="203"/>
    </row>
    <row r="68" spans="2:71" ht="18" hidden="1" customHeight="1" x14ac:dyDescent="0.2">
      <c r="B68" s="287"/>
      <c r="C68" s="152"/>
      <c r="D68" s="289"/>
      <c r="E68" s="289"/>
      <c r="F68" s="289"/>
      <c r="G68" s="291"/>
      <c r="H68" s="289"/>
      <c r="I68" s="293"/>
      <c r="J68" s="283" t="str">
        <f>IF(I68&lt;=0,"",IF(I68&lt;=2,"Muy Baja",IF(I68&lt;=24,"Baja",IF(I68&lt;=500,"Media",IF(I68&lt;=5000,"Alta","Muy Alta")))))</f>
        <v/>
      </c>
      <c r="K68" s="281" t="str">
        <f>IF(J68="","",IF(J68="Muy Baja",0.2,IF(J68="Baja",0.4,IF(J68="Media",0.6,IF(J68="Alta",0.8,IF(J68="Muy Alta",1,))))))</f>
        <v/>
      </c>
      <c r="L68" s="279"/>
      <c r="M68" s="281">
        <f>IF(NOT(ISERROR(MATCH(L68,'Tabla Impacto'!$B$225:$B$227,0))),'Tabla Impacto'!$G$227&amp;"Por favor no seleccionar los criterios de impacto(Afectación Económica o presupuestal y Pérdida Reputacional)",L68)</f>
        <v>0</v>
      </c>
      <c r="N68" s="283" t="str">
        <f>IF(OR(M68='Tabla Impacto'!$C$15,M68='Tabla Impacto'!$E$15),"Leve",IF(OR(M68='Tabla Impacto'!$C$16,M68='Tabla Impacto'!$E$16),"Menor",IF(OR(M68='Tabla Impacto'!$C$17,M68='Tabla Impacto'!$E$17),"Moderado",IF(OR(M68='Tabla Impacto'!$C$18,M68='Tabla Impacto'!$E$18),"Mayor",IF(OR(M68='Tabla Impacto'!$C$19,M68='Tabla Impacto'!$E$19),"Catastrófico","")))))</f>
        <v/>
      </c>
      <c r="O68" s="281" t="str">
        <f>IF(N68="","",IF(N68="Leve",0.2,IF(N68="Menor",0.4,IF(N68="Moderado",0.6,IF(N68="Mayor",0.8,IF(N68="Catastrófico",1,))))))</f>
        <v/>
      </c>
      <c r="P68" s="285" t="str">
        <f>IF(OR(AND(J68="Muy Baja",N68="Leve"),AND(J68="Muy Baja",N68="Menor"),AND(J68="Baja",N68="Leve")),"Bajo",IF(OR(AND(J68="Muy baja",N68="Moderado"),AND(J68="Baja",N68="Menor"),AND(J68="Baja",N68="Moderado"),AND(J68="Media",N68="Leve"),AND(J68="Media",N68="Menor"),AND(J68="Media",N68="Moderado"),AND(J68="Alta",N68="Leve"),AND(J68="Alta",N68="Menor")),"Moderado",IF(OR(AND(J68="Muy Baja",N68="Mayor"),AND(J68="Baja",N68="Mayor"),AND(J68="Media",N68="Mayor"),AND(J68="Alta",N68="Moderado"),AND(J68="Alta",N68="Mayor"),AND(J68="Muy Alta",N68="Leve"),AND(J68="Muy Alta",N68="Menor"),AND(J68="Muy Alta",N68="Moderado"),AND(J68="Muy Alta",N68="Mayor")),"Alto",IF(OR(AND(J68="Muy Baja",N68="Catastrófico"),AND(J68="Baja",N68="Catastrófico"),AND(J68="Media",N68="Catastrófico"),AND(J68="Alta",N68="Catastrófico"),AND(J68="Muy Alta",N68="Catastrófico")),"Extremo",""))))</f>
        <v/>
      </c>
      <c r="Q68" s="153">
        <v>1</v>
      </c>
      <c r="R68" s="154"/>
      <c r="S68" s="155"/>
      <c r="T68" s="156"/>
      <c r="U68" s="156"/>
      <c r="V68" s="157" t="str">
        <f>IF(AND(T68="Preventivo",U68="Automático"),"50%",IF(AND(T68="Preventivo",U68="Manual"),"40%",IF(AND(T68="Detectivo",U68="Automático"),"40%",IF(AND(T68="Detectivo",U68="Manual"),"30%",IF(AND(T68="Correctivo",U68="Automático"),"35%",IF(AND(T68="Correctivo",U68="Manual"),"25%",""))))))</f>
        <v/>
      </c>
      <c r="W68" s="156"/>
      <c r="X68" s="156"/>
      <c r="Y68" s="156"/>
      <c r="Z68" s="158" t="str">
        <f>IFERROR(IF(S68="Probabilidad",(K68-(+K68*V68)),IF(S68="Impacto",K68,"")),"")</f>
        <v/>
      </c>
      <c r="AA68" s="159" t="str">
        <f t="shared" si="46"/>
        <v/>
      </c>
      <c r="AB68" s="160" t="str">
        <f>+Z68</f>
        <v/>
      </c>
      <c r="AC68" s="159" t="str">
        <f t="shared" si="48"/>
        <v/>
      </c>
      <c r="AD68" s="160" t="str">
        <f>IFERROR(IF(S68="Impacto",(O68-(+O68*V68)),IF(S68="Probabilidad",O68,"")),"")</f>
        <v/>
      </c>
      <c r="AE68" s="161" t="str">
        <f>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62"/>
      <c r="AG68" s="163"/>
      <c r="AH68" s="164"/>
      <c r="AI68" s="165"/>
      <c r="AJ68" s="165"/>
      <c r="AK68" s="165"/>
      <c r="AL68" s="163"/>
      <c r="AM68" s="164"/>
      <c r="AN68" s="126"/>
      <c r="AO68" s="126"/>
      <c r="AP68" s="126"/>
      <c r="AQ68" s="126"/>
      <c r="AR68" s="126"/>
      <c r="AS68" s="126"/>
      <c r="AT68" s="126"/>
      <c r="AU68" s="126"/>
      <c r="AV68" s="126"/>
      <c r="AW68" s="126"/>
      <c r="AX68" s="126"/>
      <c r="AY68" s="126"/>
      <c r="AZ68" s="126"/>
      <c r="BA68" s="126"/>
      <c r="BB68" s="126"/>
      <c r="BC68" s="126"/>
      <c r="BD68" s="126"/>
      <c r="BE68" s="126"/>
      <c r="BF68" s="126"/>
      <c r="BG68" s="126"/>
      <c r="BH68" s="126"/>
      <c r="BI68" s="126"/>
      <c r="BJ68" s="126"/>
      <c r="BK68" s="126"/>
      <c r="BL68" s="126"/>
      <c r="BM68" s="126"/>
      <c r="BN68" s="126"/>
      <c r="BO68" s="126"/>
      <c r="BP68" s="126"/>
      <c r="BQ68" s="126"/>
      <c r="BR68" s="126"/>
      <c r="BS68" s="126"/>
    </row>
    <row r="69" spans="2:71" ht="18" hidden="1" customHeight="1" x14ac:dyDescent="0.2">
      <c r="B69" s="287"/>
      <c r="C69" s="152"/>
      <c r="D69" s="289"/>
      <c r="E69" s="289"/>
      <c r="F69" s="289"/>
      <c r="G69" s="291"/>
      <c r="H69" s="289"/>
      <c r="I69" s="293"/>
      <c r="J69" s="283"/>
      <c r="K69" s="281"/>
      <c r="L69" s="279"/>
      <c r="M69" s="281">
        <f>IF(NOT(ISERROR(MATCH(L69,_xlfn.ANCHORARRAY(#REF!),0))),#REF!&amp;"Por favor no seleccionar los criterios de impacto",L69)</f>
        <v>0</v>
      </c>
      <c r="N69" s="283"/>
      <c r="O69" s="281"/>
      <c r="P69" s="285"/>
      <c r="Q69" s="138">
        <v>2</v>
      </c>
      <c r="R69" s="144"/>
      <c r="S69" s="145" t="str">
        <f>IF(OR(T69="Preventivo",T69="Detectivo"),"Probabilidad",IF(T69="Correctivo","Impacto",""))</f>
        <v/>
      </c>
      <c r="T69" s="146"/>
      <c r="U69" s="146"/>
      <c r="V69" s="147" t="str">
        <f t="shared" ref="V69:V73" si="54">IF(AND(T69="Preventivo",U69="Automático"),"50%",IF(AND(T69="Preventivo",U69="Manual"),"40%",IF(AND(T69="Detectivo",U69="Automático"),"40%",IF(AND(T69="Detectivo",U69="Manual"),"30%",IF(AND(T69="Correctivo",U69="Automático"),"35%",IF(AND(T69="Correctivo",U69="Manual"),"25%",""))))))</f>
        <v/>
      </c>
      <c r="W69" s="146"/>
      <c r="X69" s="146"/>
      <c r="Y69" s="146"/>
      <c r="Z69" s="139" t="str">
        <f>IFERROR(IF(AND(S68="Probabilidad",S69="Probabilidad"),(AB68-(+AB68*V69)),IF(S69="Probabilidad",(K68-(+K68*V69)),IF(S69="Impacto",AB68,""))),"")</f>
        <v/>
      </c>
      <c r="AA69" s="141" t="str">
        <f t="shared" si="46"/>
        <v/>
      </c>
      <c r="AB69" s="140" t="str">
        <f t="shared" ref="AB69:AB73" si="55">+Z69</f>
        <v/>
      </c>
      <c r="AC69" s="141" t="str">
        <f t="shared" si="48"/>
        <v/>
      </c>
      <c r="AD69" s="140" t="str">
        <f>IFERROR(IF(AND(S68="Impacto",S69="Impacto"),(AD68-(+AD68*V69)),IF(S69="Impacto",(O68-(+O68*V69)),IF(S69="Probabilidad",AD68,""))),"")</f>
        <v/>
      </c>
      <c r="AE69" s="142" t="str">
        <f t="shared" ref="AE69:AE70" si="56">IFERROR(IF(OR(AND(AA69="Muy Baja",AC69="Leve"),AND(AA69="Muy Baja",AC69="Menor"),AND(AA69="Baja",AC69="Leve")),"Bajo",IF(OR(AND(AA69="Muy baja",AC69="Moderado"),AND(AA69="Baja",AC69="Menor"),AND(AA69="Baja",AC69="Moderado"),AND(AA69="Media",AC69="Leve"),AND(AA69="Media",AC69="Menor"),AND(AA69="Media",AC69="Moderado"),AND(AA69="Alta",AC69="Leve"),AND(AA69="Alta",AC69="Menor")),"Moderado",IF(OR(AND(AA69="Muy Baja",AC69="Mayor"),AND(AA69="Baja",AC69="Mayor"),AND(AA69="Media",AC69="Mayor"),AND(AA69="Alta",AC69="Moderado"),AND(AA69="Alta",AC69="Mayor"),AND(AA69="Muy Alta",AC69="Leve"),AND(AA69="Muy Alta",AC69="Menor"),AND(AA69="Muy Alta",AC69="Moderado"),AND(AA69="Muy Alta",AC69="Mayor")),"Alto",IF(OR(AND(AA69="Muy Baja",AC69="Catastrófico"),AND(AA69="Baja",AC69="Catastrófico"),AND(AA69="Media",AC69="Catastrófico"),AND(AA69="Alta",AC69="Catastrófico"),AND(AA69="Muy Alta",AC69="Catastrófico")),"Extremo","")))),"")</f>
        <v/>
      </c>
      <c r="AF69" s="143"/>
      <c r="AG69" s="148"/>
      <c r="AH69" s="149"/>
      <c r="AI69" s="150"/>
      <c r="AJ69" s="150"/>
      <c r="AK69" s="150"/>
      <c r="AL69" s="148"/>
      <c r="AM69" s="149"/>
    </row>
    <row r="70" spans="2:71" ht="18" hidden="1" customHeight="1" x14ac:dyDescent="0.2">
      <c r="B70" s="287"/>
      <c r="C70" s="152"/>
      <c r="D70" s="289"/>
      <c r="E70" s="289"/>
      <c r="F70" s="289"/>
      <c r="G70" s="291"/>
      <c r="H70" s="289"/>
      <c r="I70" s="293"/>
      <c r="J70" s="283"/>
      <c r="K70" s="281"/>
      <c r="L70" s="279"/>
      <c r="M70" s="281">
        <f>IF(NOT(ISERROR(MATCH(L70,_xlfn.ANCHORARRAY(#REF!),0))),#REF!&amp;"Por favor no seleccionar los criterios de impacto",L70)</f>
        <v>0</v>
      </c>
      <c r="N70" s="283"/>
      <c r="O70" s="281"/>
      <c r="P70" s="285"/>
      <c r="Q70" s="138">
        <v>3</v>
      </c>
      <c r="R70" s="151"/>
      <c r="S70" s="145" t="str">
        <f>IF(OR(T70="Preventivo",T70="Detectivo"),"Probabilidad",IF(T70="Correctivo","Impacto",""))</f>
        <v/>
      </c>
      <c r="T70" s="146"/>
      <c r="U70" s="146"/>
      <c r="V70" s="147" t="str">
        <f t="shared" si="54"/>
        <v/>
      </c>
      <c r="W70" s="146"/>
      <c r="X70" s="146"/>
      <c r="Y70" s="146"/>
      <c r="Z70" s="139" t="str">
        <f>IFERROR(IF(AND(S69="Probabilidad",S70="Probabilidad"),(AB69-(+AB69*V70)),IF(AND(S69="Impacto",S70="Probabilidad"),(AB68-(+AB68*V70)),IF(S70="Impacto",AB69,""))),"")</f>
        <v/>
      </c>
      <c r="AA70" s="141" t="str">
        <f t="shared" si="46"/>
        <v/>
      </c>
      <c r="AB70" s="140" t="str">
        <f t="shared" si="55"/>
        <v/>
      </c>
      <c r="AC70" s="141" t="str">
        <f t="shared" si="48"/>
        <v/>
      </c>
      <c r="AD70" s="140" t="str">
        <f>IFERROR(IF(AND(S69="Impacto",S70="Impacto"),(AD69-(+AD69*V70)),IF(AND(S69="Probabilidad",S70="Impacto"),(AD68-(+AD68*V70)),IF(S70="Probabilidad",AD69,""))),"")</f>
        <v/>
      </c>
      <c r="AE70" s="142" t="str">
        <f t="shared" si="56"/>
        <v/>
      </c>
      <c r="AF70" s="143"/>
      <c r="AG70" s="148"/>
      <c r="AH70" s="149"/>
      <c r="AI70" s="150"/>
      <c r="AJ70" s="150"/>
      <c r="AK70" s="150"/>
      <c r="AL70" s="148"/>
      <c r="AM70" s="149"/>
    </row>
    <row r="71" spans="2:71" ht="18" hidden="1" customHeight="1" x14ac:dyDescent="0.2">
      <c r="B71" s="287"/>
      <c r="C71" s="152"/>
      <c r="D71" s="289"/>
      <c r="E71" s="289"/>
      <c r="F71" s="289"/>
      <c r="G71" s="291"/>
      <c r="H71" s="289"/>
      <c r="I71" s="293"/>
      <c r="J71" s="283"/>
      <c r="K71" s="281"/>
      <c r="L71" s="279"/>
      <c r="M71" s="281">
        <f>IF(NOT(ISERROR(MATCH(L71,_xlfn.ANCHORARRAY(#REF!),0))),#REF!&amp;"Por favor no seleccionar los criterios de impacto",L71)</f>
        <v>0</v>
      </c>
      <c r="N71" s="283"/>
      <c r="O71" s="281"/>
      <c r="P71" s="285"/>
      <c r="Q71" s="138">
        <v>4</v>
      </c>
      <c r="R71" s="144"/>
      <c r="S71" s="145" t="str">
        <f t="shared" ref="S71:S73" si="57">IF(OR(T71="Preventivo",T71="Detectivo"),"Probabilidad",IF(T71="Correctivo","Impacto",""))</f>
        <v/>
      </c>
      <c r="T71" s="146"/>
      <c r="U71" s="146"/>
      <c r="V71" s="147" t="str">
        <f t="shared" si="54"/>
        <v/>
      </c>
      <c r="W71" s="146"/>
      <c r="X71" s="146"/>
      <c r="Y71" s="146"/>
      <c r="Z71" s="139" t="str">
        <f t="shared" ref="Z71:Z72" si="58">IFERROR(IF(AND(S70="Probabilidad",S71="Probabilidad"),(AB70-(+AB70*V71)),IF(AND(S70="Impacto",S71="Probabilidad"),(AB69-(+AB69*V71)),IF(S71="Impacto",AB70,""))),"")</f>
        <v/>
      </c>
      <c r="AA71" s="141" t="str">
        <f t="shared" si="46"/>
        <v/>
      </c>
      <c r="AB71" s="140" t="str">
        <f t="shared" si="55"/>
        <v/>
      </c>
      <c r="AC71" s="141" t="str">
        <f t="shared" si="48"/>
        <v/>
      </c>
      <c r="AD71" s="140" t="str">
        <f t="shared" ref="AD71:AD72" si="59">IFERROR(IF(AND(S70="Impacto",S71="Impacto"),(AD70-(+AD70*V71)),IF(AND(S70="Probabilidad",S71="Impacto"),(AD69-(+AD69*V71)),IF(S71="Probabilidad",AD70,""))),"")</f>
        <v/>
      </c>
      <c r="AE71" s="142" t="str">
        <f>IFERROR(IF(OR(AND(AA71="Muy Baja",AC71="Leve"),AND(AA71="Muy Baja",AC71="Menor"),AND(AA71="Baja",AC71="Leve")),"Bajo",IF(OR(AND(AA71="Muy baja",AC71="Moderado"),AND(AA71="Baja",AC71="Menor"),AND(AA71="Baja",AC71="Moderado"),AND(AA71="Media",AC71="Leve"),AND(AA71="Media",AC71="Menor"),AND(AA71="Media",AC71="Moderado"),AND(AA71="Alta",AC71="Leve"),AND(AA71="Alta",AC71="Menor")),"Moderado",IF(OR(AND(AA71="Muy Baja",AC71="Mayor"),AND(AA71="Baja",AC71="Mayor"),AND(AA71="Media",AC71="Mayor"),AND(AA71="Alta",AC71="Moderado"),AND(AA71="Alta",AC71="Mayor"),AND(AA71="Muy Alta",AC71="Leve"),AND(AA71="Muy Alta",AC71="Menor"),AND(AA71="Muy Alta",AC71="Moderado"),AND(AA71="Muy Alta",AC71="Mayor")),"Alto",IF(OR(AND(AA71="Muy Baja",AC71="Catastrófico"),AND(AA71="Baja",AC71="Catastrófico"),AND(AA71="Media",AC71="Catastrófico"),AND(AA71="Alta",AC71="Catastrófico"),AND(AA71="Muy Alta",AC71="Catastrófico")),"Extremo","")))),"")</f>
        <v/>
      </c>
      <c r="AF71" s="143"/>
      <c r="AG71" s="148"/>
      <c r="AH71" s="149"/>
      <c r="AI71" s="150"/>
      <c r="AJ71" s="150"/>
      <c r="AK71" s="150"/>
      <c r="AL71" s="148"/>
      <c r="AM71" s="149"/>
    </row>
    <row r="72" spans="2:71" ht="18" hidden="1" customHeight="1" x14ac:dyDescent="0.2">
      <c r="B72" s="287"/>
      <c r="C72" s="152"/>
      <c r="D72" s="289"/>
      <c r="E72" s="289"/>
      <c r="F72" s="289"/>
      <c r="G72" s="291"/>
      <c r="H72" s="289"/>
      <c r="I72" s="293"/>
      <c r="J72" s="283"/>
      <c r="K72" s="281"/>
      <c r="L72" s="279"/>
      <c r="M72" s="281">
        <f>IF(NOT(ISERROR(MATCH(L72,_xlfn.ANCHORARRAY(#REF!),0))),K90&amp;"Por favor no seleccionar los criterios de impacto",L72)</f>
        <v>0</v>
      </c>
      <c r="N72" s="283"/>
      <c r="O72" s="281"/>
      <c r="P72" s="285"/>
      <c r="Q72" s="138">
        <v>5</v>
      </c>
      <c r="R72" s="144"/>
      <c r="S72" s="145" t="str">
        <f t="shared" si="57"/>
        <v/>
      </c>
      <c r="T72" s="146"/>
      <c r="U72" s="146"/>
      <c r="V72" s="147" t="str">
        <f t="shared" si="54"/>
        <v/>
      </c>
      <c r="W72" s="146"/>
      <c r="X72" s="146"/>
      <c r="Y72" s="146"/>
      <c r="Z72" s="139" t="str">
        <f t="shared" si="58"/>
        <v/>
      </c>
      <c r="AA72" s="141" t="str">
        <f t="shared" si="46"/>
        <v/>
      </c>
      <c r="AB72" s="140" t="str">
        <f t="shared" si="55"/>
        <v/>
      </c>
      <c r="AC72" s="141" t="str">
        <f t="shared" si="48"/>
        <v/>
      </c>
      <c r="AD72" s="140" t="str">
        <f t="shared" si="59"/>
        <v/>
      </c>
      <c r="AE72" s="142" t="str">
        <f t="shared" ref="AE72:AE73" si="60">IFERROR(IF(OR(AND(AA72="Muy Baja",AC72="Leve"),AND(AA72="Muy Baja",AC72="Menor"),AND(AA72="Baja",AC72="Leve")),"Bajo",IF(OR(AND(AA72="Muy baja",AC72="Moderado"),AND(AA72="Baja",AC72="Menor"),AND(AA72="Baja",AC72="Moderado"),AND(AA72="Media",AC72="Leve"),AND(AA72="Media",AC72="Menor"),AND(AA72="Media",AC72="Moderado"),AND(AA72="Alta",AC72="Leve"),AND(AA72="Alta",AC72="Menor")),"Moderado",IF(OR(AND(AA72="Muy Baja",AC72="Mayor"),AND(AA72="Baja",AC72="Mayor"),AND(AA72="Media",AC72="Mayor"),AND(AA72="Alta",AC72="Moderado"),AND(AA72="Alta",AC72="Mayor"),AND(AA72="Muy Alta",AC72="Leve"),AND(AA72="Muy Alta",AC72="Menor"),AND(AA72="Muy Alta",AC72="Moderado"),AND(AA72="Muy Alta",AC72="Mayor")),"Alto",IF(OR(AND(AA72="Muy Baja",AC72="Catastrófico"),AND(AA72="Baja",AC72="Catastrófico"),AND(AA72="Media",AC72="Catastrófico"),AND(AA72="Alta",AC72="Catastrófico"),AND(AA72="Muy Alta",AC72="Catastrófico")),"Extremo","")))),"")</f>
        <v/>
      </c>
      <c r="AF72" s="143"/>
      <c r="AG72" s="148"/>
      <c r="AH72" s="149"/>
      <c r="AI72" s="150"/>
      <c r="AJ72" s="150"/>
      <c r="AK72" s="150"/>
      <c r="AL72" s="148"/>
      <c r="AM72" s="149"/>
    </row>
    <row r="73" spans="2:71" ht="18" hidden="1" customHeight="1" x14ac:dyDescent="0.2">
      <c r="B73" s="320"/>
      <c r="C73" s="166"/>
      <c r="D73" s="318"/>
      <c r="E73" s="318"/>
      <c r="F73" s="318"/>
      <c r="G73" s="321"/>
      <c r="H73" s="318"/>
      <c r="I73" s="319"/>
      <c r="J73" s="335"/>
      <c r="K73" s="392"/>
      <c r="L73" s="404"/>
      <c r="M73" s="392">
        <f>IF(NOT(ISERROR(MATCH(L73,_xlfn.ANCHORARRAY(#REF!),0))),K91&amp;"Por favor no seleccionar los criterios de impacto",L73)</f>
        <v>0</v>
      </c>
      <c r="N73" s="335"/>
      <c r="O73" s="392"/>
      <c r="P73" s="405"/>
      <c r="Q73" s="138">
        <v>6</v>
      </c>
      <c r="R73" s="144"/>
      <c r="S73" s="145" t="str">
        <f t="shared" si="57"/>
        <v/>
      </c>
      <c r="T73" s="146"/>
      <c r="U73" s="146"/>
      <c r="V73" s="147" t="str">
        <f t="shared" si="54"/>
        <v/>
      </c>
      <c r="W73" s="146"/>
      <c r="X73" s="146"/>
      <c r="Y73" s="146"/>
      <c r="Z73" s="139" t="str">
        <f>IFERROR(IF(AND(S72="Probabilidad",S73="Probabilidad"),(AB72-(+AB72*V73)),IF(AND(S72="Impacto",S73="Probabilidad"),(AB71-(+AB71*V73)),IF(S73="Impacto",AB72,""))),"")</f>
        <v/>
      </c>
      <c r="AA73" s="141" t="str">
        <f t="shared" si="46"/>
        <v/>
      </c>
      <c r="AB73" s="140" t="str">
        <f t="shared" si="55"/>
        <v/>
      </c>
      <c r="AC73" s="141" t="str">
        <f t="shared" si="48"/>
        <v/>
      </c>
      <c r="AD73" s="140" t="str">
        <f>IFERROR(IF(AND(S72="Impacto",S73="Impacto"),(AD72-(+AD72*V73)),IF(AND(S72="Probabilidad",S73="Impacto"),(AD71-(+AD71*V73)),IF(S73="Probabilidad",AD72,""))),"")</f>
        <v/>
      </c>
      <c r="AE73" s="142" t="str">
        <f t="shared" si="60"/>
        <v/>
      </c>
      <c r="AF73" s="143"/>
      <c r="AG73" s="148"/>
      <c r="AH73" s="149"/>
      <c r="AI73" s="150"/>
      <c r="AJ73" s="150"/>
      <c r="AK73" s="150"/>
      <c r="AL73" s="148"/>
      <c r="AM73" s="149"/>
    </row>
    <row r="74" spans="2:71" ht="48.75" hidden="1" customHeight="1" x14ac:dyDescent="0.2">
      <c r="B74" s="286"/>
      <c r="C74" s="167"/>
      <c r="D74" s="342"/>
      <c r="E74" s="342"/>
      <c r="F74" s="342"/>
      <c r="G74" s="297"/>
      <c r="H74" s="342"/>
      <c r="I74" s="311"/>
      <c r="J74" s="294" t="str">
        <f>IF(I74&lt;=0,"",IF(I74&lt;=2,"Muy Baja",IF(I74&lt;=24,"Baja",IF(I74&lt;=500,"Media",IF(I74&lt;=5000,"Alta","Muy Alta")))))</f>
        <v/>
      </c>
      <c r="K74" s="339" t="str">
        <f>IF(J74="","",IF(J74="Muy Baja",0.2,IF(J74="Baja",0.4,IF(J74="Media",0.6,IF(J74="Alta",0.8,IF(J74="Muy Alta",1,))))))</f>
        <v/>
      </c>
      <c r="L74" s="329"/>
      <c r="M74" s="339">
        <f>IF(NOT(ISERROR(MATCH(L74,'Tabla Impacto'!$B$225:$B$227,0))),'Tabla Impacto'!$G$227&amp;"Por favor no seleccionar los criterios de impacto(Afectación Económica o presupuestal y Pérdida Reputacional)",L74)</f>
        <v>0</v>
      </c>
      <c r="N74" s="294" t="str">
        <f>IF(OR(M74='Tabla Impacto'!$C$15,M74='Tabla Impacto'!$E$15),"Leve",IF(OR(M74='Tabla Impacto'!$C$16,M74='Tabla Impacto'!$E$16),"Menor",IF(OR(M74='Tabla Impacto'!$C$17,M74='Tabla Impacto'!$E$17),"Moderado",IF(OR(M74='Tabla Impacto'!$C$18,M74='Tabla Impacto'!$E$18),"Mayor",IF(OR(M74='Tabla Impacto'!$C$19,M74='Tabla Impacto'!$E$19),"Catastrófico","")))))</f>
        <v/>
      </c>
      <c r="O74" s="339" t="str">
        <f>IF(N74="","",IF(N74="Leve",0.2,IF(N74="Menor",0.4,IF(N74="Moderado",0.6,IF(N74="Mayor",0.8,IF(N74="Catastrófico",1,))))))</f>
        <v/>
      </c>
      <c r="P74" s="348" t="str">
        <f>IF(OR(AND(J74="Muy Baja",N74="Leve"),AND(J74="Muy Baja",N74="Menor"),AND(J74="Baja",N74="Leve")),"Bajo",IF(OR(AND(J74="Muy baja",N74="Moderado"),AND(J74="Baja",N74="Menor"),AND(J74="Baja",N74="Moderado"),AND(J74="Media",N74="Leve"),AND(J74="Media",N74="Menor"),AND(J74="Media",N74="Moderado"),AND(J74="Alta",N74="Leve"),AND(J74="Alta",N74="Menor")),"Moderado",IF(OR(AND(J74="Muy Baja",N74="Mayor"),AND(J74="Baja",N74="Mayor"),AND(J74="Media",N74="Mayor"),AND(J74="Alta",N74="Moderado"),AND(J74="Alta",N74="Mayor"),AND(J74="Muy Alta",N74="Leve"),AND(J74="Muy Alta",N74="Menor"),AND(J74="Muy Alta",N74="Moderado"),AND(J74="Muy Alta",N74="Mayor")),"Alto",IF(OR(AND(J74="Muy Baja",N74="Catastrófico"),AND(J74="Baja",N74="Catastrófico"),AND(J74="Media",N74="Catastrófico"),AND(J74="Alta",N74="Catastrófico"),AND(J74="Muy Alta",N74="Catastrófico")),"Extremo",""))))</f>
        <v/>
      </c>
      <c r="Q74" s="132">
        <v>1</v>
      </c>
      <c r="R74" s="144"/>
      <c r="S74" s="168"/>
      <c r="T74" s="169"/>
      <c r="U74" s="169"/>
      <c r="V74" s="170"/>
      <c r="W74" s="169"/>
      <c r="X74" s="169"/>
      <c r="Y74" s="169"/>
      <c r="Z74" s="133"/>
      <c r="AA74" s="134"/>
      <c r="AB74" s="135"/>
      <c r="AC74" s="134"/>
      <c r="AD74" s="135"/>
      <c r="AE74" s="136"/>
      <c r="AF74" s="137"/>
      <c r="AG74" s="148"/>
      <c r="AH74" s="171"/>
      <c r="AI74" s="172"/>
      <c r="AJ74" s="172"/>
      <c r="AK74" s="150"/>
      <c r="AL74" s="148"/>
      <c r="AM74" s="149"/>
      <c r="AN74" s="126"/>
      <c r="AO74" s="126"/>
      <c r="AP74" s="126"/>
      <c r="AQ74" s="126"/>
      <c r="AR74" s="126"/>
      <c r="AS74" s="126"/>
      <c r="AT74" s="126"/>
      <c r="AU74" s="126"/>
      <c r="AV74" s="126"/>
      <c r="AW74" s="126"/>
      <c r="AX74" s="126"/>
      <c r="AY74" s="126"/>
      <c r="AZ74" s="126"/>
      <c r="BA74" s="126"/>
      <c r="BB74" s="126"/>
      <c r="BC74" s="126"/>
      <c r="BD74" s="126"/>
      <c r="BE74" s="126"/>
      <c r="BF74" s="126"/>
      <c r="BG74" s="126"/>
      <c r="BH74" s="126"/>
      <c r="BI74" s="126"/>
      <c r="BJ74" s="126"/>
      <c r="BK74" s="126"/>
      <c r="BL74" s="126"/>
      <c r="BM74" s="126"/>
      <c r="BN74" s="126"/>
      <c r="BO74" s="126"/>
      <c r="BP74" s="126"/>
      <c r="BQ74" s="126"/>
      <c r="BR74" s="126"/>
      <c r="BS74" s="126"/>
    </row>
    <row r="75" spans="2:71" ht="18" hidden="1" customHeight="1" x14ac:dyDescent="0.2">
      <c r="B75" s="287"/>
      <c r="C75" s="152"/>
      <c r="D75" s="343"/>
      <c r="E75" s="343"/>
      <c r="F75" s="343"/>
      <c r="G75" s="298"/>
      <c r="H75" s="343"/>
      <c r="I75" s="312"/>
      <c r="J75" s="295"/>
      <c r="K75" s="340"/>
      <c r="L75" s="330"/>
      <c r="M75" s="340">
        <f>IF(NOT(ISERROR(MATCH(L75,_xlfn.ANCHORARRAY(G91),0))),K93&amp;"Por favor no seleccionar los criterios de impacto",L75)</f>
        <v>0</v>
      </c>
      <c r="N75" s="295"/>
      <c r="O75" s="340"/>
      <c r="P75" s="349"/>
      <c r="Q75" s="138">
        <v>2</v>
      </c>
      <c r="R75" s="144"/>
      <c r="S75" s="145" t="str">
        <f>IF(OR(T75="Preventivo",T75="Detectivo"),"Probabilidad",IF(T75="Correctivo","Impacto",""))</f>
        <v/>
      </c>
      <c r="T75" s="146"/>
      <c r="U75" s="146"/>
      <c r="V75" s="147" t="str">
        <f t="shared" ref="V75:V79" si="61">IF(AND(T75="Preventivo",U75="Automático"),"50%",IF(AND(T75="Preventivo",U75="Manual"),"40%",IF(AND(T75="Detectivo",U75="Automático"),"40%",IF(AND(T75="Detectivo",U75="Manual"),"30%",IF(AND(T75="Correctivo",U75="Automático"),"35%",IF(AND(T75="Correctivo",U75="Manual"),"25%",""))))))</f>
        <v/>
      </c>
      <c r="W75" s="146"/>
      <c r="X75" s="146"/>
      <c r="Y75" s="146"/>
      <c r="Z75" s="139" t="str">
        <f>IFERROR(IF(AND(S74="Probabilidad",S75="Probabilidad"),(AB74-(+AB74*V75)),IF(S75="Probabilidad",(K74-(+K74*V75)),IF(S75="Impacto",AB74,""))),"")</f>
        <v/>
      </c>
      <c r="AA75" s="141" t="str">
        <f t="shared" ref="AA75:AA85" si="62">IFERROR(IF(Z75="","",IF(Z75&lt;=0.2,"Muy Baja",IF(Z75&lt;=0.4,"Baja",IF(Z75&lt;=0.6,"Media",IF(Z75&lt;=0.8,"Alta","Muy Alta"))))),"")</f>
        <v/>
      </c>
      <c r="AB75" s="140" t="str">
        <f t="shared" ref="AB75:AB79" si="63">+Z75</f>
        <v/>
      </c>
      <c r="AC75" s="141" t="str">
        <f t="shared" ref="AC75:AC85" si="64">IFERROR(IF(AD75="","",IF(AD75&lt;=0.2,"Leve",IF(AD75&lt;=0.4,"Menor",IF(AD75&lt;=0.6,"Moderado",IF(AD75&lt;=0.8,"Mayor","Catastrófico"))))),"")</f>
        <v/>
      </c>
      <c r="AD75" s="140" t="str">
        <f>IFERROR(IF(AND(S74="Impacto",S75="Impacto"),(AD74-(+AD74*V75)),IF(S75="Impacto",(O74-(+O74*V75)),IF(S75="Probabilidad",AD74,""))),"")</f>
        <v/>
      </c>
      <c r="AE75" s="142" t="str">
        <f t="shared" ref="AE75:AE76" si="65">IFERROR(IF(OR(AND(AA75="Muy Baja",AC75="Leve"),AND(AA75="Muy Baja",AC75="Menor"),AND(AA75="Baja",AC75="Leve")),"Bajo",IF(OR(AND(AA75="Muy baja",AC75="Moderado"),AND(AA75="Baja",AC75="Menor"),AND(AA75="Baja",AC75="Moderado"),AND(AA75="Media",AC75="Leve"),AND(AA75="Media",AC75="Menor"),AND(AA75="Media",AC75="Moderado"),AND(AA75="Alta",AC75="Leve"),AND(AA75="Alta",AC75="Menor")),"Moderado",IF(OR(AND(AA75="Muy Baja",AC75="Mayor"),AND(AA75="Baja",AC75="Mayor"),AND(AA75="Media",AC75="Mayor"),AND(AA75="Alta",AC75="Moderado"),AND(AA75="Alta",AC75="Mayor"),AND(AA75="Muy Alta",AC75="Leve"),AND(AA75="Muy Alta",AC75="Menor"),AND(AA75="Muy Alta",AC75="Moderado"),AND(AA75="Muy Alta",AC75="Mayor")),"Alto",IF(OR(AND(AA75="Muy Baja",AC75="Catastrófico"),AND(AA75="Baja",AC75="Catastrófico"),AND(AA75="Media",AC75="Catastrófico"),AND(AA75="Alta",AC75="Catastrófico"),AND(AA75="Muy Alta",AC75="Catastrófico")),"Extremo","")))),"")</f>
        <v/>
      </c>
      <c r="AF75" s="143"/>
      <c r="AG75" s="148"/>
      <c r="AH75" s="149"/>
      <c r="AI75" s="150"/>
      <c r="AJ75" s="150"/>
      <c r="AK75" s="150"/>
      <c r="AL75" s="148"/>
      <c r="AM75" s="149"/>
      <c r="AN75" s="126"/>
      <c r="AO75" s="126"/>
      <c r="AP75" s="126"/>
      <c r="AQ75" s="126"/>
      <c r="AR75" s="126"/>
      <c r="AS75" s="126"/>
      <c r="AT75" s="126"/>
      <c r="AU75" s="126"/>
      <c r="AV75" s="126"/>
      <c r="AW75" s="126"/>
      <c r="AX75" s="126"/>
      <c r="AY75" s="126"/>
      <c r="AZ75" s="126"/>
      <c r="BA75" s="126"/>
      <c r="BB75" s="126"/>
      <c r="BC75" s="126"/>
      <c r="BD75" s="126"/>
      <c r="BE75" s="126"/>
      <c r="BF75" s="126"/>
      <c r="BG75" s="126"/>
      <c r="BH75" s="126"/>
      <c r="BI75" s="126"/>
      <c r="BJ75" s="126"/>
      <c r="BK75" s="126"/>
      <c r="BL75" s="126"/>
      <c r="BM75" s="126"/>
      <c r="BN75" s="126"/>
      <c r="BO75" s="126"/>
      <c r="BP75" s="126"/>
      <c r="BQ75" s="126"/>
      <c r="BR75" s="126"/>
      <c r="BS75" s="126"/>
    </row>
    <row r="76" spans="2:71" ht="18" hidden="1" customHeight="1" x14ac:dyDescent="0.2">
      <c r="B76" s="287"/>
      <c r="C76" s="152"/>
      <c r="D76" s="343"/>
      <c r="E76" s="343"/>
      <c r="F76" s="343"/>
      <c r="G76" s="298"/>
      <c r="H76" s="343"/>
      <c r="I76" s="312"/>
      <c r="J76" s="295"/>
      <c r="K76" s="340"/>
      <c r="L76" s="330"/>
      <c r="M76" s="340">
        <f>IF(NOT(ISERROR(MATCH(L76,_xlfn.ANCHORARRAY(G92),0))),K94&amp;"Por favor no seleccionar los criterios de impacto",L76)</f>
        <v>0</v>
      </c>
      <c r="N76" s="295"/>
      <c r="O76" s="340"/>
      <c r="P76" s="349"/>
      <c r="Q76" s="138">
        <v>3</v>
      </c>
      <c r="R76" s="151"/>
      <c r="S76" s="145" t="str">
        <f>IF(OR(T76="Preventivo",T76="Detectivo"),"Probabilidad",IF(T76="Correctivo","Impacto",""))</f>
        <v/>
      </c>
      <c r="T76" s="146"/>
      <c r="U76" s="146"/>
      <c r="V76" s="147" t="str">
        <f t="shared" si="61"/>
        <v/>
      </c>
      <c r="W76" s="146"/>
      <c r="X76" s="146"/>
      <c r="Y76" s="146"/>
      <c r="Z76" s="139" t="str">
        <f>IFERROR(IF(AND(S75="Probabilidad",S76="Probabilidad"),(AB75-(+AB75*V76)),IF(AND(S75="Impacto",S76="Probabilidad"),(AB74-(+AB74*V76)),IF(S76="Impacto",AB75,""))),"")</f>
        <v/>
      </c>
      <c r="AA76" s="141" t="str">
        <f t="shared" si="62"/>
        <v/>
      </c>
      <c r="AB76" s="140" t="str">
        <f t="shared" si="63"/>
        <v/>
      </c>
      <c r="AC76" s="141" t="str">
        <f t="shared" si="64"/>
        <v/>
      </c>
      <c r="AD76" s="140" t="str">
        <f>IFERROR(IF(AND(S75="Impacto",S76="Impacto"),(AD75-(+AD75*V76)),IF(AND(S75="Probabilidad",S76="Impacto"),(AD74-(+AD74*V76)),IF(S76="Probabilidad",AD75,""))),"")</f>
        <v/>
      </c>
      <c r="AE76" s="142" t="str">
        <f t="shared" si="65"/>
        <v/>
      </c>
      <c r="AF76" s="143"/>
      <c r="AG76" s="148"/>
      <c r="AH76" s="149"/>
      <c r="AI76" s="150"/>
      <c r="AJ76" s="150"/>
      <c r="AK76" s="150"/>
      <c r="AL76" s="148"/>
      <c r="AM76" s="149"/>
      <c r="AN76" s="126"/>
      <c r="AO76" s="126"/>
      <c r="AP76" s="126"/>
      <c r="AQ76" s="126"/>
      <c r="AR76" s="126"/>
      <c r="AS76" s="126"/>
      <c r="AT76" s="126"/>
      <c r="AU76" s="126"/>
      <c r="AV76" s="126"/>
      <c r="AW76" s="126"/>
      <c r="AX76" s="126"/>
      <c r="AY76" s="126"/>
      <c r="AZ76" s="126"/>
      <c r="BA76" s="126"/>
      <c r="BB76" s="126"/>
      <c r="BC76" s="126"/>
      <c r="BD76" s="126"/>
      <c r="BE76" s="126"/>
      <c r="BF76" s="126"/>
      <c r="BG76" s="126"/>
      <c r="BH76" s="126"/>
      <c r="BI76" s="126"/>
      <c r="BJ76" s="126"/>
      <c r="BK76" s="126"/>
      <c r="BL76" s="126"/>
      <c r="BM76" s="126"/>
      <c r="BN76" s="126"/>
      <c r="BO76" s="126"/>
      <c r="BP76" s="126"/>
      <c r="BQ76" s="126"/>
      <c r="BR76" s="126"/>
      <c r="BS76" s="126"/>
    </row>
    <row r="77" spans="2:71" ht="18" hidden="1" customHeight="1" x14ac:dyDescent="0.2">
      <c r="B77" s="287"/>
      <c r="C77" s="152"/>
      <c r="D77" s="343"/>
      <c r="E77" s="343"/>
      <c r="F77" s="343"/>
      <c r="G77" s="298"/>
      <c r="H77" s="343"/>
      <c r="I77" s="312"/>
      <c r="J77" s="295"/>
      <c r="K77" s="340"/>
      <c r="L77" s="330"/>
      <c r="M77" s="340">
        <f>IF(NOT(ISERROR(MATCH(L77,_xlfn.ANCHORARRAY(G93),0))),K95&amp;"Por favor no seleccionar los criterios de impacto",L77)</f>
        <v>0</v>
      </c>
      <c r="N77" s="295"/>
      <c r="O77" s="340"/>
      <c r="P77" s="349"/>
      <c r="Q77" s="138">
        <v>4</v>
      </c>
      <c r="R77" s="144"/>
      <c r="S77" s="145" t="str">
        <f t="shared" ref="S77:S79" si="66">IF(OR(T77="Preventivo",T77="Detectivo"),"Probabilidad",IF(T77="Correctivo","Impacto",""))</f>
        <v/>
      </c>
      <c r="T77" s="146"/>
      <c r="U77" s="146"/>
      <c r="V77" s="147" t="str">
        <f t="shared" si="61"/>
        <v/>
      </c>
      <c r="W77" s="146"/>
      <c r="X77" s="146"/>
      <c r="Y77" s="146"/>
      <c r="Z77" s="139" t="str">
        <f t="shared" ref="Z77:Z78" si="67">IFERROR(IF(AND(S76="Probabilidad",S77="Probabilidad"),(AB76-(+AB76*V77)),IF(AND(S76="Impacto",S77="Probabilidad"),(AB75-(+AB75*V77)),IF(S77="Impacto",AB76,""))),"")</f>
        <v/>
      </c>
      <c r="AA77" s="141" t="str">
        <f t="shared" si="62"/>
        <v/>
      </c>
      <c r="AB77" s="140" t="str">
        <f t="shared" si="63"/>
        <v/>
      </c>
      <c r="AC77" s="141" t="str">
        <f t="shared" si="64"/>
        <v/>
      </c>
      <c r="AD77" s="140" t="str">
        <f t="shared" ref="AD77:AD78" si="68">IFERROR(IF(AND(S76="Impacto",S77="Impacto"),(AD76-(+AD76*V77)),IF(AND(S76="Probabilidad",S77="Impacto"),(AD75-(+AD75*V77)),IF(S77="Probabilidad",AD76,""))),"")</f>
        <v/>
      </c>
      <c r="AE77" s="142" t="str">
        <f>IFERROR(IF(OR(AND(AA77="Muy Baja",AC77="Leve"),AND(AA77="Muy Baja",AC77="Menor"),AND(AA77="Baja",AC77="Leve")),"Bajo",IF(OR(AND(AA77="Muy baja",AC77="Moderado"),AND(AA77="Baja",AC77="Menor"),AND(AA77="Baja",AC77="Moderado"),AND(AA77="Media",AC77="Leve"),AND(AA77="Media",AC77="Menor"),AND(AA77="Media",AC77="Moderado"),AND(AA77="Alta",AC77="Leve"),AND(AA77="Alta",AC77="Menor")),"Moderado",IF(OR(AND(AA77="Muy Baja",AC77="Mayor"),AND(AA77="Baja",AC77="Mayor"),AND(AA77="Media",AC77="Mayor"),AND(AA77="Alta",AC77="Moderado"),AND(AA77="Alta",AC77="Mayor"),AND(AA77="Muy Alta",AC77="Leve"),AND(AA77="Muy Alta",AC77="Menor"),AND(AA77="Muy Alta",AC77="Moderado"),AND(AA77="Muy Alta",AC77="Mayor")),"Alto",IF(OR(AND(AA77="Muy Baja",AC77="Catastrófico"),AND(AA77="Baja",AC77="Catastrófico"),AND(AA77="Media",AC77="Catastrófico"),AND(AA77="Alta",AC77="Catastrófico"),AND(AA77="Muy Alta",AC77="Catastrófico")),"Extremo","")))),"")</f>
        <v/>
      </c>
      <c r="AF77" s="143"/>
      <c r="AG77" s="148"/>
      <c r="AH77" s="149"/>
      <c r="AI77" s="150"/>
      <c r="AJ77" s="150"/>
      <c r="AK77" s="150"/>
      <c r="AL77" s="148"/>
      <c r="AM77" s="149"/>
      <c r="AN77" s="126"/>
      <c r="AO77" s="126"/>
      <c r="AP77" s="126"/>
      <c r="AQ77" s="126"/>
      <c r="AR77" s="126"/>
      <c r="AS77" s="126"/>
      <c r="AT77" s="126"/>
      <c r="AU77" s="126"/>
      <c r="AV77" s="126"/>
      <c r="AW77" s="126"/>
      <c r="AX77" s="126"/>
      <c r="AY77" s="126"/>
      <c r="AZ77" s="126"/>
      <c r="BA77" s="126"/>
      <c r="BB77" s="126"/>
      <c r="BC77" s="126"/>
      <c r="BD77" s="126"/>
      <c r="BE77" s="126"/>
      <c r="BF77" s="126"/>
      <c r="BG77" s="126"/>
      <c r="BH77" s="126"/>
      <c r="BI77" s="126"/>
      <c r="BJ77" s="126"/>
      <c r="BK77" s="126"/>
      <c r="BL77" s="126"/>
      <c r="BM77" s="126"/>
      <c r="BN77" s="126"/>
      <c r="BO77" s="126"/>
      <c r="BP77" s="126"/>
      <c r="BQ77" s="126"/>
      <c r="BR77" s="126"/>
      <c r="BS77" s="126"/>
    </row>
    <row r="78" spans="2:71" ht="18" hidden="1" customHeight="1" x14ac:dyDescent="0.2">
      <c r="B78" s="287"/>
      <c r="C78" s="152"/>
      <c r="D78" s="343"/>
      <c r="E78" s="343"/>
      <c r="F78" s="343"/>
      <c r="G78" s="298"/>
      <c r="H78" s="343"/>
      <c r="I78" s="312"/>
      <c r="J78" s="295"/>
      <c r="K78" s="340"/>
      <c r="L78" s="330"/>
      <c r="M78" s="340">
        <f>IF(NOT(ISERROR(MATCH(L78,_xlfn.ANCHORARRAY(G94),0))),K96&amp;"Por favor no seleccionar los criterios de impacto",L78)</f>
        <v>0</v>
      </c>
      <c r="N78" s="295"/>
      <c r="O78" s="340"/>
      <c r="P78" s="349"/>
      <c r="Q78" s="138">
        <v>5</v>
      </c>
      <c r="R78" s="144"/>
      <c r="S78" s="145" t="str">
        <f t="shared" si="66"/>
        <v/>
      </c>
      <c r="T78" s="146"/>
      <c r="U78" s="146"/>
      <c r="V78" s="147" t="str">
        <f t="shared" si="61"/>
        <v/>
      </c>
      <c r="W78" s="146"/>
      <c r="X78" s="146"/>
      <c r="Y78" s="146"/>
      <c r="Z78" s="139" t="str">
        <f t="shared" si="67"/>
        <v/>
      </c>
      <c r="AA78" s="141" t="str">
        <f t="shared" si="62"/>
        <v/>
      </c>
      <c r="AB78" s="140" t="str">
        <f t="shared" si="63"/>
        <v/>
      </c>
      <c r="AC78" s="141" t="str">
        <f t="shared" si="64"/>
        <v/>
      </c>
      <c r="AD78" s="140" t="str">
        <f t="shared" si="68"/>
        <v/>
      </c>
      <c r="AE78" s="142" t="str">
        <f t="shared" ref="AE78:AE79" si="69">IFERROR(IF(OR(AND(AA78="Muy Baja",AC78="Leve"),AND(AA78="Muy Baja",AC78="Menor"),AND(AA78="Baja",AC78="Leve")),"Bajo",IF(OR(AND(AA78="Muy baja",AC78="Moderado"),AND(AA78="Baja",AC78="Menor"),AND(AA78="Baja",AC78="Moderado"),AND(AA78="Media",AC78="Leve"),AND(AA78="Media",AC78="Menor"),AND(AA78="Media",AC78="Moderado"),AND(AA78="Alta",AC78="Leve"),AND(AA78="Alta",AC78="Menor")),"Moderado",IF(OR(AND(AA78="Muy Baja",AC78="Mayor"),AND(AA78="Baja",AC78="Mayor"),AND(AA78="Media",AC78="Mayor"),AND(AA78="Alta",AC78="Moderado"),AND(AA78="Alta",AC78="Mayor"),AND(AA78="Muy Alta",AC78="Leve"),AND(AA78="Muy Alta",AC78="Menor"),AND(AA78="Muy Alta",AC78="Moderado"),AND(AA78="Muy Alta",AC78="Mayor")),"Alto",IF(OR(AND(AA78="Muy Baja",AC78="Catastrófico"),AND(AA78="Baja",AC78="Catastrófico"),AND(AA78="Media",AC78="Catastrófico"),AND(AA78="Alta",AC78="Catastrófico"),AND(AA78="Muy Alta",AC78="Catastrófico")),"Extremo","")))),"")</f>
        <v/>
      </c>
      <c r="AF78" s="143"/>
      <c r="AG78" s="148"/>
      <c r="AH78" s="149"/>
      <c r="AI78" s="150"/>
      <c r="AJ78" s="150"/>
      <c r="AK78" s="150"/>
      <c r="AL78" s="148"/>
      <c r="AM78" s="149"/>
      <c r="AN78" s="126"/>
      <c r="AO78" s="126"/>
      <c r="AP78" s="126"/>
      <c r="AQ78" s="126"/>
      <c r="AR78" s="126"/>
      <c r="AS78" s="126"/>
      <c r="AT78" s="126"/>
      <c r="AU78" s="126"/>
      <c r="AV78" s="126"/>
      <c r="AW78" s="126"/>
      <c r="AX78" s="126"/>
      <c r="AY78" s="126"/>
      <c r="AZ78" s="126"/>
      <c r="BA78" s="126"/>
      <c r="BB78" s="126"/>
      <c r="BC78" s="126"/>
      <c r="BD78" s="126"/>
      <c r="BE78" s="126"/>
      <c r="BF78" s="126"/>
      <c r="BG78" s="126"/>
      <c r="BH78" s="126"/>
      <c r="BI78" s="126"/>
      <c r="BJ78" s="126"/>
      <c r="BK78" s="126"/>
      <c r="BL78" s="126"/>
      <c r="BM78" s="126"/>
      <c r="BN78" s="126"/>
      <c r="BO78" s="126"/>
      <c r="BP78" s="126"/>
      <c r="BQ78" s="126"/>
      <c r="BR78" s="126"/>
      <c r="BS78" s="126"/>
    </row>
    <row r="79" spans="2:71" ht="18" hidden="1" customHeight="1" x14ac:dyDescent="0.2">
      <c r="B79" s="320"/>
      <c r="C79" s="166"/>
      <c r="D79" s="344"/>
      <c r="E79" s="344"/>
      <c r="F79" s="344"/>
      <c r="G79" s="306"/>
      <c r="H79" s="344"/>
      <c r="I79" s="313"/>
      <c r="J79" s="296"/>
      <c r="K79" s="341"/>
      <c r="L79" s="331"/>
      <c r="M79" s="341">
        <f>IF(NOT(ISERROR(MATCH(L79,_xlfn.ANCHORARRAY(G95),0))),K97&amp;"Por favor no seleccionar los criterios de impacto",L79)</f>
        <v>0</v>
      </c>
      <c r="N79" s="296"/>
      <c r="O79" s="341"/>
      <c r="P79" s="350"/>
      <c r="Q79" s="138">
        <v>6</v>
      </c>
      <c r="R79" s="144"/>
      <c r="S79" s="145" t="str">
        <f t="shared" si="66"/>
        <v/>
      </c>
      <c r="T79" s="146"/>
      <c r="U79" s="146"/>
      <c r="V79" s="147" t="str">
        <f t="shared" si="61"/>
        <v/>
      </c>
      <c r="W79" s="146"/>
      <c r="X79" s="146"/>
      <c r="Y79" s="146"/>
      <c r="Z79" s="139" t="str">
        <f>IFERROR(IF(AND(S78="Probabilidad",S79="Probabilidad"),(AB78-(+AB78*V79)),IF(AND(S78="Impacto",S79="Probabilidad"),(AB77-(+AB77*V79)),IF(S79="Impacto",AB78,""))),"")</f>
        <v/>
      </c>
      <c r="AA79" s="141" t="str">
        <f t="shared" si="62"/>
        <v/>
      </c>
      <c r="AB79" s="140" t="str">
        <f t="shared" si="63"/>
        <v/>
      </c>
      <c r="AC79" s="141" t="str">
        <f t="shared" si="64"/>
        <v/>
      </c>
      <c r="AD79" s="140" t="str">
        <f>IFERROR(IF(AND(S78="Impacto",S79="Impacto"),(AD78-(+AD78*V79)),IF(AND(S78="Probabilidad",S79="Impacto"),(AD77-(+AD77*V79)),IF(S79="Probabilidad",AD78,""))),"")</f>
        <v/>
      </c>
      <c r="AE79" s="142" t="str">
        <f t="shared" si="69"/>
        <v/>
      </c>
      <c r="AF79" s="143"/>
      <c r="AG79" s="148"/>
      <c r="AH79" s="149"/>
      <c r="AI79" s="150"/>
      <c r="AJ79" s="150"/>
      <c r="AK79" s="150"/>
      <c r="AL79" s="148"/>
      <c r="AM79" s="149"/>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row>
    <row r="80" spans="2:71" ht="18" hidden="1" customHeight="1" x14ac:dyDescent="0.2">
      <c r="B80" s="286"/>
      <c r="C80" s="167"/>
      <c r="D80" s="288"/>
      <c r="E80" s="288"/>
      <c r="F80" s="288"/>
      <c r="G80" s="290"/>
      <c r="H80" s="288"/>
      <c r="I80" s="292"/>
      <c r="J80" s="282" t="str">
        <f>IF(I80&lt;=0,"",IF(I80&lt;=2,"Muy Baja",IF(I80&lt;=24,"Baja",IF(I80&lt;=500,"Media",IF(I80&lt;=5000,"Alta","Muy Alta")))))</f>
        <v/>
      </c>
      <c r="K80" s="280" t="str">
        <f>IF(J80="","",IF(J80="Muy Baja",0.2,IF(J80="Baja",0.4,IF(J80="Media",0.6,IF(J80="Alta",0.8,IF(J80="Muy Alta",1,))))))</f>
        <v/>
      </c>
      <c r="L80" s="278"/>
      <c r="M80" s="280">
        <f>IF(NOT(ISERROR(MATCH(L80,'Tabla Impacto'!$B$225:$B$227,0))),'Tabla Impacto'!$G$227&amp;"Por favor no seleccionar los criterios de impacto(Afectación Económica o presupuestal y Pérdida Reputacional)",L80)</f>
        <v>0</v>
      </c>
      <c r="N80" s="282" t="str">
        <f>IF(OR(M80='Tabla Impacto'!$C$15,M80='Tabla Impacto'!$E$15),"Leve",IF(OR(M80='Tabla Impacto'!$C$16,M80='Tabla Impacto'!$E$16),"Menor",IF(OR(M80='Tabla Impacto'!$C$17,M80='Tabla Impacto'!$E$17),"Moderado",IF(OR(M80='Tabla Impacto'!$C$18,M80='Tabla Impacto'!$E$18),"Mayor",IF(OR(M80='Tabla Impacto'!$C$19,M80='Tabla Impacto'!$E$19),"Catastrófico","")))))</f>
        <v/>
      </c>
      <c r="O80" s="280" t="str">
        <f>IF(N80="","",IF(N80="Leve",0.2,IF(N80="Menor",0.4,IF(N80="Moderado",0.6,IF(N80="Mayor",0.8,IF(N80="Catastrófico",1,))))))</f>
        <v/>
      </c>
      <c r="P80" s="284" t="str">
        <f>IF(OR(AND(J80="Muy Baja",N80="Leve"),AND(J80="Muy Baja",N80="Menor"),AND(J80="Baja",N80="Leve")),"Bajo",IF(OR(AND(J80="Muy baja",N80="Moderado"),AND(J80="Baja",N80="Menor"),AND(J80="Baja",N80="Moderado"),AND(J80="Media",N80="Leve"),AND(J80="Media",N80="Menor"),AND(J80="Media",N80="Moderado"),AND(J80="Alta",N80="Leve"),AND(J80="Alta",N80="Menor")),"Moderado",IF(OR(AND(J80="Muy Baja",N80="Mayor"),AND(J80="Baja",N80="Mayor"),AND(J80="Media",N80="Mayor"),AND(J80="Alta",N80="Moderado"),AND(J80="Alta",N80="Mayor"),AND(J80="Muy Alta",N80="Leve"),AND(J80="Muy Alta",N80="Menor"),AND(J80="Muy Alta",N80="Moderado"),AND(J80="Muy Alta",N80="Mayor")),"Alto",IF(OR(AND(J80="Muy Baja",N80="Catastrófico"),AND(J80="Baja",N80="Catastrófico"),AND(J80="Media",N80="Catastrófico"),AND(J80="Alta",N80="Catastrófico"),AND(J80="Muy Alta",N80="Catastrófico")),"Extremo",""))))</f>
        <v/>
      </c>
      <c r="Q80" s="138">
        <v>1</v>
      </c>
      <c r="R80" s="144"/>
      <c r="S80" s="168"/>
      <c r="T80" s="169"/>
      <c r="U80" s="169"/>
      <c r="V80" s="170" t="str">
        <f>IF(AND(T80="Preventivo",U80="Automático"),"50%",IF(AND(T80="Preventivo",U80="Manual"),"40%",IF(AND(T80="Detectivo",U80="Automático"),"40%",IF(AND(T80="Detectivo",U80="Manual"),"30%",IF(AND(T80="Correctivo",U80="Automático"),"35%",IF(AND(T80="Correctivo",U80="Manual"),"25%",""))))))</f>
        <v/>
      </c>
      <c r="W80" s="169"/>
      <c r="X80" s="169"/>
      <c r="Y80" s="169"/>
      <c r="Z80" s="133" t="str">
        <f>IFERROR(IF(S80="Probabilidad",(K80-(+K80*V80)),IF(S80="Impacto",K80,"")),"")</f>
        <v/>
      </c>
      <c r="AA80" s="134" t="str">
        <f t="shared" si="62"/>
        <v/>
      </c>
      <c r="AB80" s="135" t="str">
        <f>+Z80</f>
        <v/>
      </c>
      <c r="AC80" s="134" t="str">
        <f t="shared" si="64"/>
        <v/>
      </c>
      <c r="AD80" s="135" t="str">
        <f>IFERROR(IF(S80="Impacto",(O80-(+O80*V80)),IF(S80="Probabilidad",O80,"")),"")</f>
        <v/>
      </c>
      <c r="AE80" s="136" t="str">
        <f>IFERROR(IF(OR(AND(AA80="Muy Baja",AC80="Leve"),AND(AA80="Muy Baja",AC80="Menor"),AND(AA80="Baja",AC80="Leve")),"Bajo",IF(OR(AND(AA80="Muy baja",AC80="Moderado"),AND(AA80="Baja",AC80="Menor"),AND(AA80="Baja",AC80="Moderado"),AND(AA80="Media",AC80="Leve"),AND(AA80="Media",AC80="Menor"),AND(AA80="Media",AC80="Moderado"),AND(AA80="Alta",AC80="Leve"),AND(AA80="Alta",AC80="Menor")),"Moderado",IF(OR(AND(AA80="Muy Baja",AC80="Mayor"),AND(AA80="Baja",AC80="Mayor"),AND(AA80="Media",AC80="Mayor"),AND(AA80="Alta",AC80="Moderado"),AND(AA80="Alta",AC80="Mayor"),AND(AA80="Muy Alta",AC80="Leve"),AND(AA80="Muy Alta",AC80="Menor"),AND(AA80="Muy Alta",AC80="Moderado"),AND(AA80="Muy Alta",AC80="Mayor")),"Alto",IF(OR(AND(AA80="Muy Baja",AC80="Catastrófico"),AND(AA80="Baja",AC80="Catastrófico"),AND(AA80="Media",AC80="Catastrófico"),AND(AA80="Alta",AC80="Catastrófico"),AND(AA80="Muy Alta",AC80="Catastrófico")),"Extremo","")))),"")</f>
        <v/>
      </c>
      <c r="AF80" s="137"/>
      <c r="AG80" s="148"/>
      <c r="AH80" s="149"/>
      <c r="AI80" s="150"/>
      <c r="AJ80" s="150"/>
      <c r="AK80" s="150"/>
      <c r="AL80" s="148"/>
      <c r="AM80" s="149"/>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row>
    <row r="81" spans="2:39" ht="18" hidden="1" customHeight="1" x14ac:dyDescent="0.2">
      <c r="B81" s="287"/>
      <c r="C81" s="152"/>
      <c r="D81" s="289"/>
      <c r="E81" s="289"/>
      <c r="F81" s="289"/>
      <c r="G81" s="291"/>
      <c r="H81" s="289"/>
      <c r="I81" s="293"/>
      <c r="J81" s="283"/>
      <c r="K81" s="281"/>
      <c r="L81" s="279"/>
      <c r="M81" s="281">
        <f>IF(NOT(ISERROR(MATCH(L81,_xlfn.ANCHORARRAY(G97),0))),K99&amp;"Por favor no seleccionar los criterios de impacto",L81)</f>
        <v>0</v>
      </c>
      <c r="N81" s="283"/>
      <c r="O81" s="281"/>
      <c r="P81" s="285"/>
      <c r="Q81" s="138">
        <v>2</v>
      </c>
      <c r="R81" s="144"/>
      <c r="S81" s="145" t="str">
        <f>IF(OR(T81="Preventivo",T81="Detectivo"),"Probabilidad",IF(T81="Correctivo","Impacto",""))</f>
        <v/>
      </c>
      <c r="T81" s="146"/>
      <c r="U81" s="146"/>
      <c r="V81" s="147" t="str">
        <f t="shared" ref="V81:V85" si="70">IF(AND(T81="Preventivo",U81="Automático"),"50%",IF(AND(T81="Preventivo",U81="Manual"),"40%",IF(AND(T81="Detectivo",U81="Automático"),"40%",IF(AND(T81="Detectivo",U81="Manual"),"30%",IF(AND(T81="Correctivo",U81="Automático"),"35%",IF(AND(T81="Correctivo",U81="Manual"),"25%",""))))))</f>
        <v/>
      </c>
      <c r="W81" s="146"/>
      <c r="X81" s="146"/>
      <c r="Y81" s="146"/>
      <c r="Z81" s="139" t="str">
        <f>IFERROR(IF(AND(S80="Probabilidad",S81="Probabilidad"),(AB80-(+AB80*V81)),IF(S81="Probabilidad",(K80-(+K80*V81)),IF(S81="Impacto",AB80,""))),"")</f>
        <v/>
      </c>
      <c r="AA81" s="141" t="str">
        <f t="shared" si="62"/>
        <v/>
      </c>
      <c r="AB81" s="140" t="str">
        <f t="shared" ref="AB81:AB85" si="71">+Z81</f>
        <v/>
      </c>
      <c r="AC81" s="141" t="str">
        <f t="shared" si="64"/>
        <v/>
      </c>
      <c r="AD81" s="140" t="str">
        <f>IFERROR(IF(AND(S80="Impacto",S81="Impacto"),(AD80-(+AD80*V81)),IF(S81="Impacto",(O80-(+O80*V81)),IF(S81="Probabilidad",AD80,""))),"")</f>
        <v/>
      </c>
      <c r="AE81" s="142" t="str">
        <f t="shared" ref="AE81:AE82" si="72">IFERROR(IF(OR(AND(AA81="Muy Baja",AC81="Leve"),AND(AA81="Muy Baja",AC81="Menor"),AND(AA81="Baja",AC81="Leve")),"Bajo",IF(OR(AND(AA81="Muy baja",AC81="Moderado"),AND(AA81="Baja",AC81="Menor"),AND(AA81="Baja",AC81="Moderado"),AND(AA81="Media",AC81="Leve"),AND(AA81="Media",AC81="Menor"),AND(AA81="Media",AC81="Moderado"),AND(AA81="Alta",AC81="Leve"),AND(AA81="Alta",AC81="Menor")),"Moderado",IF(OR(AND(AA81="Muy Baja",AC81="Mayor"),AND(AA81="Baja",AC81="Mayor"),AND(AA81="Media",AC81="Mayor"),AND(AA81="Alta",AC81="Moderado"),AND(AA81="Alta",AC81="Mayor"),AND(AA81="Muy Alta",AC81="Leve"),AND(AA81="Muy Alta",AC81="Menor"),AND(AA81="Muy Alta",AC81="Moderado"),AND(AA81="Muy Alta",AC81="Mayor")),"Alto",IF(OR(AND(AA81="Muy Baja",AC81="Catastrófico"),AND(AA81="Baja",AC81="Catastrófico"),AND(AA81="Media",AC81="Catastrófico"),AND(AA81="Alta",AC81="Catastrófico"),AND(AA81="Muy Alta",AC81="Catastrófico")),"Extremo","")))),"")</f>
        <v/>
      </c>
      <c r="AF81" s="143"/>
      <c r="AG81" s="148"/>
      <c r="AH81" s="149"/>
      <c r="AI81" s="150"/>
      <c r="AJ81" s="150"/>
      <c r="AK81" s="150"/>
      <c r="AL81" s="148"/>
      <c r="AM81" s="149"/>
    </row>
    <row r="82" spans="2:39" ht="18" hidden="1" customHeight="1" x14ac:dyDescent="0.2">
      <c r="B82" s="287"/>
      <c r="C82" s="152"/>
      <c r="D82" s="289"/>
      <c r="E82" s="289"/>
      <c r="F82" s="289"/>
      <c r="G82" s="291"/>
      <c r="H82" s="289"/>
      <c r="I82" s="293"/>
      <c r="J82" s="283"/>
      <c r="K82" s="281"/>
      <c r="L82" s="279"/>
      <c r="M82" s="281">
        <f>IF(NOT(ISERROR(MATCH(L82,_xlfn.ANCHORARRAY(G98),0))),K100&amp;"Por favor no seleccionar los criterios de impacto",L82)</f>
        <v>0</v>
      </c>
      <c r="N82" s="283"/>
      <c r="O82" s="281"/>
      <c r="P82" s="285"/>
      <c r="Q82" s="138">
        <v>3</v>
      </c>
      <c r="R82" s="151"/>
      <c r="S82" s="145" t="str">
        <f>IF(OR(T82="Preventivo",T82="Detectivo"),"Probabilidad",IF(T82="Correctivo","Impacto",""))</f>
        <v/>
      </c>
      <c r="T82" s="146"/>
      <c r="U82" s="146"/>
      <c r="V82" s="147" t="str">
        <f t="shared" si="70"/>
        <v/>
      </c>
      <c r="W82" s="146"/>
      <c r="X82" s="146"/>
      <c r="Y82" s="146"/>
      <c r="Z82" s="139" t="str">
        <f>IFERROR(IF(AND(S81="Probabilidad",S82="Probabilidad"),(AB81-(+AB81*V82)),IF(AND(S81="Impacto",S82="Probabilidad"),(AB80-(+AB80*V82)),IF(S82="Impacto",AB81,""))),"")</f>
        <v/>
      </c>
      <c r="AA82" s="141" t="str">
        <f t="shared" si="62"/>
        <v/>
      </c>
      <c r="AB82" s="140" t="str">
        <f t="shared" si="71"/>
        <v/>
      </c>
      <c r="AC82" s="141" t="str">
        <f t="shared" si="64"/>
        <v/>
      </c>
      <c r="AD82" s="140" t="str">
        <f>IFERROR(IF(AND(S81="Impacto",S82="Impacto"),(AD81-(+AD81*V82)),IF(AND(S81="Probabilidad",S82="Impacto"),(AD80-(+AD80*V82)),IF(S82="Probabilidad",AD81,""))),"")</f>
        <v/>
      </c>
      <c r="AE82" s="142" t="str">
        <f t="shared" si="72"/>
        <v/>
      </c>
      <c r="AF82" s="143"/>
      <c r="AG82" s="148"/>
      <c r="AH82" s="149"/>
      <c r="AI82" s="150"/>
      <c r="AJ82" s="150"/>
      <c r="AK82" s="150"/>
      <c r="AL82" s="148"/>
      <c r="AM82" s="149"/>
    </row>
    <row r="83" spans="2:39" ht="18" hidden="1" customHeight="1" x14ac:dyDescent="0.2">
      <c r="B83" s="287"/>
      <c r="C83" s="152"/>
      <c r="D83" s="289"/>
      <c r="E83" s="289"/>
      <c r="F83" s="289"/>
      <c r="G83" s="291"/>
      <c r="H83" s="289"/>
      <c r="I83" s="293"/>
      <c r="J83" s="283"/>
      <c r="K83" s="281"/>
      <c r="L83" s="279"/>
      <c r="M83" s="281">
        <f>IF(NOT(ISERROR(MATCH(L83,_xlfn.ANCHORARRAY(G99),0))),K101&amp;"Por favor no seleccionar los criterios de impacto",L83)</f>
        <v>0</v>
      </c>
      <c r="N83" s="283"/>
      <c r="O83" s="281"/>
      <c r="P83" s="285"/>
      <c r="Q83" s="138">
        <v>4</v>
      </c>
      <c r="R83" s="144"/>
      <c r="S83" s="145" t="str">
        <f t="shared" ref="S83:S85" si="73">IF(OR(T83="Preventivo",T83="Detectivo"),"Probabilidad",IF(T83="Correctivo","Impacto",""))</f>
        <v/>
      </c>
      <c r="T83" s="146"/>
      <c r="U83" s="146"/>
      <c r="V83" s="147" t="str">
        <f t="shared" si="70"/>
        <v/>
      </c>
      <c r="W83" s="146"/>
      <c r="X83" s="146"/>
      <c r="Y83" s="146"/>
      <c r="Z83" s="139" t="str">
        <f t="shared" ref="Z83:Z84" si="74">IFERROR(IF(AND(S82="Probabilidad",S83="Probabilidad"),(AB82-(+AB82*V83)),IF(AND(S82="Impacto",S83="Probabilidad"),(AB81-(+AB81*V83)),IF(S83="Impacto",AB82,""))),"")</f>
        <v/>
      </c>
      <c r="AA83" s="141" t="str">
        <f t="shared" si="62"/>
        <v/>
      </c>
      <c r="AB83" s="140" t="str">
        <f t="shared" si="71"/>
        <v/>
      </c>
      <c r="AC83" s="141" t="str">
        <f t="shared" si="64"/>
        <v/>
      </c>
      <c r="AD83" s="140" t="str">
        <f t="shared" ref="AD83:AD84" si="75">IFERROR(IF(AND(S82="Impacto",S83="Impacto"),(AD82-(+AD82*V83)),IF(AND(S82="Probabilidad",S83="Impacto"),(AD81-(+AD81*V83)),IF(S83="Probabilidad",AD82,""))),"")</f>
        <v/>
      </c>
      <c r="AE83" s="142" t="str">
        <f>IFERROR(IF(OR(AND(AA83="Muy Baja",AC83="Leve"),AND(AA83="Muy Baja",AC83="Menor"),AND(AA83="Baja",AC83="Leve")),"Bajo",IF(OR(AND(AA83="Muy baja",AC83="Moderado"),AND(AA83="Baja",AC83="Menor"),AND(AA83="Baja",AC83="Moderado"),AND(AA83="Media",AC83="Leve"),AND(AA83="Media",AC83="Menor"),AND(AA83="Media",AC83="Moderado"),AND(AA83="Alta",AC83="Leve"),AND(AA83="Alta",AC83="Menor")),"Moderado",IF(OR(AND(AA83="Muy Baja",AC83="Mayor"),AND(AA83="Baja",AC83="Mayor"),AND(AA83="Media",AC83="Mayor"),AND(AA83="Alta",AC83="Moderado"),AND(AA83="Alta",AC83="Mayor"),AND(AA83="Muy Alta",AC83="Leve"),AND(AA83="Muy Alta",AC83="Menor"),AND(AA83="Muy Alta",AC83="Moderado"),AND(AA83="Muy Alta",AC83="Mayor")),"Alto",IF(OR(AND(AA83="Muy Baja",AC83="Catastrófico"),AND(AA83="Baja",AC83="Catastrófico"),AND(AA83="Media",AC83="Catastrófico"),AND(AA83="Alta",AC83="Catastrófico"),AND(AA83="Muy Alta",AC83="Catastrófico")),"Extremo","")))),"")</f>
        <v/>
      </c>
      <c r="AF83" s="143"/>
      <c r="AG83" s="148"/>
      <c r="AH83" s="149"/>
      <c r="AI83" s="150"/>
      <c r="AJ83" s="150"/>
      <c r="AK83" s="150"/>
      <c r="AL83" s="148"/>
      <c r="AM83" s="149"/>
    </row>
    <row r="84" spans="2:39" ht="18" hidden="1" customHeight="1" x14ac:dyDescent="0.2">
      <c r="B84" s="287"/>
      <c r="C84" s="152"/>
      <c r="D84" s="289"/>
      <c r="E84" s="289"/>
      <c r="F84" s="289"/>
      <c r="G84" s="291"/>
      <c r="H84" s="289"/>
      <c r="I84" s="293"/>
      <c r="J84" s="283"/>
      <c r="K84" s="281"/>
      <c r="L84" s="279"/>
      <c r="M84" s="281">
        <f>IF(NOT(ISERROR(MATCH(L84,_xlfn.ANCHORARRAY(G100),0))),K102&amp;"Por favor no seleccionar los criterios de impacto",L84)</f>
        <v>0</v>
      </c>
      <c r="N84" s="283"/>
      <c r="O84" s="281"/>
      <c r="P84" s="285"/>
      <c r="Q84" s="138">
        <v>5</v>
      </c>
      <c r="R84" s="144"/>
      <c r="S84" s="145" t="str">
        <f t="shared" si="73"/>
        <v/>
      </c>
      <c r="T84" s="146"/>
      <c r="U84" s="146"/>
      <c r="V84" s="147" t="str">
        <f t="shared" si="70"/>
        <v/>
      </c>
      <c r="W84" s="146"/>
      <c r="X84" s="146"/>
      <c r="Y84" s="146"/>
      <c r="Z84" s="139" t="str">
        <f t="shared" si="74"/>
        <v/>
      </c>
      <c r="AA84" s="141" t="str">
        <f t="shared" si="62"/>
        <v/>
      </c>
      <c r="AB84" s="140" t="str">
        <f t="shared" si="71"/>
        <v/>
      </c>
      <c r="AC84" s="141" t="str">
        <f t="shared" si="64"/>
        <v/>
      </c>
      <c r="AD84" s="140" t="str">
        <f t="shared" si="75"/>
        <v/>
      </c>
      <c r="AE84" s="142" t="str">
        <f t="shared" ref="AE84:AE85" si="76">IFERROR(IF(OR(AND(AA84="Muy Baja",AC84="Leve"),AND(AA84="Muy Baja",AC84="Menor"),AND(AA84="Baja",AC84="Leve")),"Bajo",IF(OR(AND(AA84="Muy baja",AC84="Moderado"),AND(AA84="Baja",AC84="Menor"),AND(AA84="Baja",AC84="Moderado"),AND(AA84="Media",AC84="Leve"),AND(AA84="Media",AC84="Menor"),AND(AA84="Media",AC84="Moderado"),AND(AA84="Alta",AC84="Leve"),AND(AA84="Alta",AC84="Menor")),"Moderado",IF(OR(AND(AA84="Muy Baja",AC84="Mayor"),AND(AA84="Baja",AC84="Mayor"),AND(AA84="Media",AC84="Mayor"),AND(AA84="Alta",AC84="Moderado"),AND(AA84="Alta",AC84="Mayor"),AND(AA84="Muy Alta",AC84="Leve"),AND(AA84="Muy Alta",AC84="Menor"),AND(AA84="Muy Alta",AC84="Moderado"),AND(AA84="Muy Alta",AC84="Mayor")),"Alto",IF(OR(AND(AA84="Muy Baja",AC84="Catastrófico"),AND(AA84="Baja",AC84="Catastrófico"),AND(AA84="Media",AC84="Catastrófico"),AND(AA84="Alta",AC84="Catastrófico"),AND(AA84="Muy Alta",AC84="Catastrófico")),"Extremo","")))),"")</f>
        <v/>
      </c>
      <c r="AF84" s="143"/>
      <c r="AG84" s="148"/>
      <c r="AH84" s="149"/>
      <c r="AI84" s="150"/>
      <c r="AJ84" s="150"/>
      <c r="AK84" s="150"/>
      <c r="AL84" s="148"/>
      <c r="AM84" s="149"/>
    </row>
    <row r="85" spans="2:39" ht="4.5" customHeight="1" thickTop="1" thickBot="1" x14ac:dyDescent="0.25">
      <c r="B85" s="287"/>
      <c r="C85" s="152"/>
      <c r="D85" s="289"/>
      <c r="E85" s="289"/>
      <c r="F85" s="289"/>
      <c r="G85" s="291"/>
      <c r="H85" s="289"/>
      <c r="I85" s="293"/>
      <c r="J85" s="283"/>
      <c r="K85" s="281"/>
      <c r="L85" s="279"/>
      <c r="M85" s="281">
        <f>IF(NOT(ISERROR(MATCH(L85,_xlfn.ANCHORARRAY(G101),0))),K103&amp;"Por favor no seleccionar los criterios de impacto",L85)</f>
        <v>0</v>
      </c>
      <c r="N85" s="283"/>
      <c r="O85" s="281"/>
      <c r="P85" s="285"/>
      <c r="Q85" s="174">
        <v>6</v>
      </c>
      <c r="R85" s="175"/>
      <c r="S85" s="176" t="str">
        <f t="shared" si="73"/>
        <v/>
      </c>
      <c r="T85" s="143"/>
      <c r="U85" s="143"/>
      <c r="V85" s="140" t="str">
        <f t="shared" si="70"/>
        <v/>
      </c>
      <c r="W85" s="143"/>
      <c r="X85" s="143"/>
      <c r="Y85" s="143"/>
      <c r="Z85" s="177" t="str">
        <f>IFERROR(IF(AND(S84="Probabilidad",S85="Probabilidad"),(AB84-(+AB84*V85)),IF(AND(S84="Impacto",S85="Probabilidad"),(AB83-(+AB83*V85)),IF(S85="Impacto",AB84,""))),"")</f>
        <v/>
      </c>
      <c r="AA85" s="178" t="str">
        <f t="shared" si="62"/>
        <v/>
      </c>
      <c r="AB85" s="140" t="str">
        <f t="shared" si="71"/>
        <v/>
      </c>
      <c r="AC85" s="178" t="str">
        <f t="shared" si="64"/>
        <v/>
      </c>
      <c r="AD85" s="140" t="str">
        <f>IFERROR(IF(AND(S84="Impacto",S85="Impacto"),(AD84-(+AD84*V85)),IF(AND(S84="Probabilidad",S85="Impacto"),(AD83-(+AD83*V85)),IF(S85="Probabilidad",AD84,""))),"")</f>
        <v/>
      </c>
      <c r="AE85" s="179" t="str">
        <f t="shared" si="76"/>
        <v/>
      </c>
      <c r="AF85" s="143"/>
      <c r="AG85" s="173"/>
      <c r="AH85" s="180"/>
      <c r="AI85" s="181"/>
      <c r="AJ85" s="181"/>
      <c r="AK85" s="181"/>
      <c r="AL85" s="173"/>
      <c r="AM85" s="180"/>
    </row>
    <row r="86" spans="2:39" ht="34.5" customHeight="1" thickTop="1" thickBot="1" x14ac:dyDescent="0.25">
      <c r="B86" s="609" t="s">
        <v>380</v>
      </c>
      <c r="C86" s="610"/>
      <c r="D86" s="610"/>
      <c r="E86" s="610"/>
      <c r="F86" s="610"/>
      <c r="G86" s="610"/>
      <c r="H86" s="610"/>
      <c r="I86" s="610"/>
      <c r="J86" s="610"/>
      <c r="K86" s="610"/>
      <c r="L86" s="610"/>
      <c r="M86" s="610"/>
      <c r="N86" s="610"/>
      <c r="O86" s="610"/>
      <c r="P86" s="610"/>
      <c r="Q86" s="610"/>
      <c r="R86" s="610"/>
      <c r="S86" s="610"/>
      <c r="T86" s="610"/>
      <c r="U86" s="610"/>
      <c r="V86" s="610"/>
      <c r="W86" s="610"/>
      <c r="X86" s="610"/>
      <c r="Y86" s="610"/>
      <c r="Z86" s="610"/>
      <c r="AA86" s="610"/>
      <c r="AB86" s="610"/>
      <c r="AC86" s="610"/>
      <c r="AD86" s="610"/>
      <c r="AE86" s="610"/>
      <c r="AF86" s="610"/>
      <c r="AG86" s="610"/>
      <c r="AH86" s="610"/>
      <c r="AI86" s="610"/>
      <c r="AJ86" s="610"/>
      <c r="AK86" s="610"/>
      <c r="AL86" s="610"/>
      <c r="AM86" s="611"/>
    </row>
    <row r="87" spans="2:39" ht="15" thickTop="1" x14ac:dyDescent="0.2"/>
    <row r="88" spans="2:39" x14ac:dyDescent="0.2">
      <c r="B88" s="117"/>
      <c r="C88" s="182"/>
      <c r="D88" s="183"/>
      <c r="E88" s="117"/>
      <c r="F88" s="117"/>
      <c r="H88" s="117"/>
    </row>
    <row r="89" spans="2:39" x14ac:dyDescent="0.2">
      <c r="C89" s="184"/>
    </row>
  </sheetData>
  <dataConsolidate/>
  <mergeCells count="228">
    <mergeCell ref="B2:C5"/>
    <mergeCell ref="B7:D7"/>
    <mergeCell ref="B8:D8"/>
    <mergeCell ref="E7:AM7"/>
    <mergeCell ref="E8:AM8"/>
    <mergeCell ref="L68:L73"/>
    <mergeCell ref="M68:M73"/>
    <mergeCell ref="N68:N73"/>
    <mergeCell ref="O68:O73"/>
    <mergeCell ref="P68:P73"/>
    <mergeCell ref="K68:K73"/>
    <mergeCell ref="AJ12:AJ13"/>
    <mergeCell ref="Q11:Y11"/>
    <mergeCell ref="Z11:AF11"/>
    <mergeCell ref="AG11:AM11"/>
    <mergeCell ref="D2:I3"/>
    <mergeCell ref="D4:I5"/>
    <mergeCell ref="J2:K2"/>
    <mergeCell ref="J3:K3"/>
    <mergeCell ref="J4:K4"/>
    <mergeCell ref="J5:K5"/>
    <mergeCell ref="K20:K25"/>
    <mergeCell ref="M50:M55"/>
    <mergeCell ref="N50:N55"/>
    <mergeCell ref="P56:P61"/>
    <mergeCell ref="M26:M31"/>
    <mergeCell ref="N26:N31"/>
    <mergeCell ref="L56:L61"/>
    <mergeCell ref="M56:M61"/>
    <mergeCell ref="N56:N61"/>
    <mergeCell ref="M38:M43"/>
    <mergeCell ref="P32:P37"/>
    <mergeCell ref="O32:O37"/>
    <mergeCell ref="N32:N37"/>
    <mergeCell ref="O38:O43"/>
    <mergeCell ref="P38:P43"/>
    <mergeCell ref="L50:L55"/>
    <mergeCell ref="O26:O31"/>
    <mergeCell ref="P26:P31"/>
    <mergeCell ref="O50:O55"/>
    <mergeCell ref="P50:P55"/>
    <mergeCell ref="M20:M25"/>
    <mergeCell ref="N20:N25"/>
    <mergeCell ref="O20:O25"/>
    <mergeCell ref="B50:B55"/>
    <mergeCell ref="F50:F55"/>
    <mergeCell ref="G50:G55"/>
    <mergeCell ref="B12:B13"/>
    <mergeCell ref="H12:H13"/>
    <mergeCell ref="G12:G13"/>
    <mergeCell ref="F12:F13"/>
    <mergeCell ref="E12:E13"/>
    <mergeCell ref="H20:H25"/>
    <mergeCell ref="B26:B31"/>
    <mergeCell ref="D26:D31"/>
    <mergeCell ref="E26:E31"/>
    <mergeCell ref="G26:G31"/>
    <mergeCell ref="D20:D25"/>
    <mergeCell ref="H50:H55"/>
    <mergeCell ref="E38:E43"/>
    <mergeCell ref="F38:F43"/>
    <mergeCell ref="G38:G43"/>
    <mergeCell ref="H38:H43"/>
    <mergeCell ref="E20:E25"/>
    <mergeCell ref="F26:F31"/>
    <mergeCell ref="K26:K31"/>
    <mergeCell ref="K62:K67"/>
    <mergeCell ref="N38:N43"/>
    <mergeCell ref="H32:H37"/>
    <mergeCell ref="I32:I37"/>
    <mergeCell ref="J32:J37"/>
    <mergeCell ref="K32:K37"/>
    <mergeCell ref="L32:L37"/>
    <mergeCell ref="J50:J55"/>
    <mergeCell ref="K50:K55"/>
    <mergeCell ref="I38:I43"/>
    <mergeCell ref="L26:L31"/>
    <mergeCell ref="I56:I61"/>
    <mergeCell ref="J56:J61"/>
    <mergeCell ref="K56:K61"/>
    <mergeCell ref="I50:I55"/>
    <mergeCell ref="K38:K43"/>
    <mergeCell ref="M32:M37"/>
    <mergeCell ref="L38:L43"/>
    <mergeCell ref="J11:P11"/>
    <mergeCell ref="P20:P25"/>
    <mergeCell ref="B20:B25"/>
    <mergeCell ref="AF12:AF13"/>
    <mergeCell ref="Q12:Q13"/>
    <mergeCell ref="AE12:AE13"/>
    <mergeCell ref="AD12:AD13"/>
    <mergeCell ref="Z12:Z13"/>
    <mergeCell ref="R12:R13"/>
    <mergeCell ref="AC12:AC13"/>
    <mergeCell ref="C12:C13"/>
    <mergeCell ref="AA12:AA13"/>
    <mergeCell ref="AB12:AB13"/>
    <mergeCell ref="I12:I13"/>
    <mergeCell ref="D12:D13"/>
    <mergeCell ref="P12:P13"/>
    <mergeCell ref="L12:L13"/>
    <mergeCell ref="M12:M13"/>
    <mergeCell ref="N12:N13"/>
    <mergeCell ref="O12:O13"/>
    <mergeCell ref="S12:S13"/>
    <mergeCell ref="B11:I11"/>
    <mergeCell ref="I20:I25"/>
    <mergeCell ref="L20:L25"/>
    <mergeCell ref="AG12:AG13"/>
    <mergeCell ref="AM12:AM13"/>
    <mergeCell ref="AL12:AL13"/>
    <mergeCell ref="AK12:AK13"/>
    <mergeCell ref="AI12:AI13"/>
    <mergeCell ref="AH12:AH13"/>
    <mergeCell ref="B14:B19"/>
    <mergeCell ref="D14:D19"/>
    <mergeCell ref="E14:E19"/>
    <mergeCell ref="F14:F19"/>
    <mergeCell ref="G14:G19"/>
    <mergeCell ref="P14:P19"/>
    <mergeCell ref="K14:K19"/>
    <mergeCell ref="L14:L19"/>
    <mergeCell ref="M14:M19"/>
    <mergeCell ref="N14:N19"/>
    <mergeCell ref="O14:O19"/>
    <mergeCell ref="C14:C19"/>
    <mergeCell ref="T12:Y12"/>
    <mergeCell ref="H14:H19"/>
    <mergeCell ref="I14:I19"/>
    <mergeCell ref="J14:J19"/>
    <mergeCell ref="J12:J13"/>
    <mergeCell ref="K12:K13"/>
    <mergeCell ref="P74:P79"/>
    <mergeCell ref="B44:B49"/>
    <mergeCell ref="C44:C49"/>
    <mergeCell ref="D44:D49"/>
    <mergeCell ref="E44:E49"/>
    <mergeCell ref="F44:F49"/>
    <mergeCell ref="G44:G49"/>
    <mergeCell ref="H44:H49"/>
    <mergeCell ref="I44:I49"/>
    <mergeCell ref="J44:J49"/>
    <mergeCell ref="K44:K49"/>
    <mergeCell ref="L44:L49"/>
    <mergeCell ref="M44:M49"/>
    <mergeCell ref="N44:N49"/>
    <mergeCell ref="O44:O49"/>
    <mergeCell ref="P44:P49"/>
    <mergeCell ref="C50:C55"/>
    <mergeCell ref="C56:C61"/>
    <mergeCell ref="B56:B61"/>
    <mergeCell ref="O62:O67"/>
    <mergeCell ref="P62:P67"/>
    <mergeCell ref="M62:M67"/>
    <mergeCell ref="N62:N67"/>
    <mergeCell ref="K74:K79"/>
    <mergeCell ref="L74:L79"/>
    <mergeCell ref="L62:L67"/>
    <mergeCell ref="J68:J73"/>
    <mergeCell ref="G56:G61"/>
    <mergeCell ref="H56:H61"/>
    <mergeCell ref="M74:M79"/>
    <mergeCell ref="N74:N79"/>
    <mergeCell ref="O74:O79"/>
    <mergeCell ref="B74:B79"/>
    <mergeCell ref="D74:D79"/>
    <mergeCell ref="E74:E79"/>
    <mergeCell ref="F74:F79"/>
    <mergeCell ref="G74:G79"/>
    <mergeCell ref="H74:H79"/>
    <mergeCell ref="I74:I79"/>
    <mergeCell ref="O56:O61"/>
    <mergeCell ref="B32:B37"/>
    <mergeCell ref="B38:B43"/>
    <mergeCell ref="C62:C67"/>
    <mergeCell ref="C38:C43"/>
    <mergeCell ref="H68:H73"/>
    <mergeCell ref="I68:I73"/>
    <mergeCell ref="D50:D55"/>
    <mergeCell ref="E50:E55"/>
    <mergeCell ref="B68:B73"/>
    <mergeCell ref="D68:D73"/>
    <mergeCell ref="E68:E73"/>
    <mergeCell ref="F68:F73"/>
    <mergeCell ref="G68:G73"/>
    <mergeCell ref="B62:B67"/>
    <mergeCell ref="D56:D61"/>
    <mergeCell ref="E56:E61"/>
    <mergeCell ref="F56:F61"/>
    <mergeCell ref="C20:C25"/>
    <mergeCell ref="D32:D37"/>
    <mergeCell ref="E32:E37"/>
    <mergeCell ref="F32:F37"/>
    <mergeCell ref="G32:G37"/>
    <mergeCell ref="D38:D43"/>
    <mergeCell ref="J38:J43"/>
    <mergeCell ref="F20:F25"/>
    <mergeCell ref="G20:G25"/>
    <mergeCell ref="J20:J25"/>
    <mergeCell ref="C26:C31"/>
    <mergeCell ref="C32:C37"/>
    <mergeCell ref="H26:H31"/>
    <mergeCell ref="I26:I31"/>
    <mergeCell ref="J26:J31"/>
    <mergeCell ref="C10:I10"/>
    <mergeCell ref="B86:AM86"/>
    <mergeCell ref="L80:L85"/>
    <mergeCell ref="M80:M85"/>
    <mergeCell ref="N80:N85"/>
    <mergeCell ref="O80:O85"/>
    <mergeCell ref="P80:P85"/>
    <mergeCell ref="B80:B85"/>
    <mergeCell ref="D80:D85"/>
    <mergeCell ref="E80:E85"/>
    <mergeCell ref="F80:F85"/>
    <mergeCell ref="G80:G85"/>
    <mergeCell ref="H80:H85"/>
    <mergeCell ref="I80:I85"/>
    <mergeCell ref="J80:J85"/>
    <mergeCell ref="K80:K85"/>
    <mergeCell ref="J74:J79"/>
    <mergeCell ref="D62:D67"/>
    <mergeCell ref="E62:E67"/>
    <mergeCell ref="F62:F67"/>
    <mergeCell ref="G62:G67"/>
    <mergeCell ref="H62:H67"/>
    <mergeCell ref="I62:I67"/>
    <mergeCell ref="J62:J67"/>
  </mergeCells>
  <conditionalFormatting sqref="J14 J32 AA44:AA85">
    <cfRule type="cellIs" dxfId="143" priority="791" operator="equal">
      <formula>"Media"</formula>
    </cfRule>
    <cfRule type="cellIs" dxfId="142" priority="793" operator="equal">
      <formula>"Muy Baja"</formula>
    </cfRule>
    <cfRule type="cellIs" dxfId="141" priority="792" operator="equal">
      <formula>"Baja"</formula>
    </cfRule>
    <cfRule type="cellIs" dxfId="140" priority="790" operator="equal">
      <formula>"Alta"</formula>
    </cfRule>
    <cfRule type="cellIs" dxfId="139" priority="789" operator="equal">
      <formula>"Muy Alta"</formula>
    </cfRule>
  </conditionalFormatting>
  <conditionalFormatting sqref="J20">
    <cfRule type="cellIs" dxfId="138" priority="555" operator="equal">
      <formula>"Muy Baja"</formula>
    </cfRule>
    <cfRule type="cellIs" dxfId="137" priority="551" operator="equal">
      <formula>"Muy Alta"</formula>
    </cfRule>
    <cfRule type="cellIs" dxfId="136" priority="552" operator="equal">
      <formula>"Alta"</formula>
    </cfRule>
    <cfRule type="cellIs" dxfId="135" priority="553" operator="equal">
      <formula>"Media"</formula>
    </cfRule>
    <cfRule type="cellIs" dxfId="134" priority="554" operator="equal">
      <formula>"Baja"</formula>
    </cfRule>
  </conditionalFormatting>
  <conditionalFormatting sqref="J26">
    <cfRule type="cellIs" dxfId="133" priority="579" operator="equal">
      <formula>"Muy Alta"</formula>
    </cfRule>
    <cfRule type="cellIs" dxfId="132" priority="580" operator="equal">
      <formula>"Alta"</formula>
    </cfRule>
    <cfRule type="cellIs" dxfId="131" priority="582" operator="equal">
      <formula>"Baja"</formula>
    </cfRule>
    <cfRule type="cellIs" dxfId="130" priority="581" operator="equal">
      <formula>"Media"</formula>
    </cfRule>
    <cfRule type="cellIs" dxfId="129" priority="583" operator="equal">
      <formula>"Muy Baja"</formula>
    </cfRule>
  </conditionalFormatting>
  <conditionalFormatting sqref="J38">
    <cfRule type="cellIs" dxfId="128" priority="186" operator="equal">
      <formula>"Media"</formula>
    </cfRule>
    <cfRule type="cellIs" dxfId="127" priority="185" operator="equal">
      <formula>"Alta"</formula>
    </cfRule>
    <cfRule type="cellIs" dxfId="126" priority="188" operator="equal">
      <formula>"Muy Baja"</formula>
    </cfRule>
    <cfRule type="cellIs" dxfId="125" priority="184" operator="equal">
      <formula>"Muy Alta"</formula>
    </cfRule>
    <cfRule type="cellIs" dxfId="124" priority="187" operator="equal">
      <formula>"Baja"</formula>
    </cfRule>
  </conditionalFormatting>
  <conditionalFormatting sqref="J44">
    <cfRule type="cellIs" dxfId="123" priority="199" operator="equal">
      <formula>"Alta"</formula>
    </cfRule>
    <cfRule type="cellIs" dxfId="122" priority="198" operator="equal">
      <formula>"Muy Alta"</formula>
    </cfRule>
    <cfRule type="cellIs" dxfId="121" priority="200" operator="equal">
      <formula>"Media"</formula>
    </cfRule>
    <cfRule type="cellIs" dxfId="120" priority="202" operator="equal">
      <formula>"Muy Baja"</formula>
    </cfRule>
    <cfRule type="cellIs" dxfId="119" priority="201" operator="equal">
      <formula>"Baja"</formula>
    </cfRule>
  </conditionalFormatting>
  <conditionalFormatting sqref="J50">
    <cfRule type="cellIs" dxfId="118" priority="156" operator="equal">
      <formula>"Alta"</formula>
    </cfRule>
    <cfRule type="cellIs" dxfId="117" priority="157" operator="equal">
      <formula>"Media"</formula>
    </cfRule>
    <cfRule type="cellIs" dxfId="116" priority="158" operator="equal">
      <formula>"Baja"</formula>
    </cfRule>
    <cfRule type="cellIs" dxfId="115" priority="159" operator="equal">
      <formula>"Muy Baja"</formula>
    </cfRule>
    <cfRule type="cellIs" dxfId="114" priority="155" operator="equal">
      <formula>"Muy Alta"</formula>
    </cfRule>
  </conditionalFormatting>
  <conditionalFormatting sqref="J56">
    <cfRule type="cellIs" dxfId="113" priority="609" operator="equal">
      <formula>"Media"</formula>
    </cfRule>
    <cfRule type="cellIs" dxfId="112" priority="608" operator="equal">
      <formula>"Alta"</formula>
    </cfRule>
    <cfRule type="cellIs" dxfId="111" priority="607" operator="equal">
      <formula>"Muy Alta"</formula>
    </cfRule>
    <cfRule type="cellIs" dxfId="110" priority="610" operator="equal">
      <formula>"Baja"</formula>
    </cfRule>
    <cfRule type="cellIs" dxfId="109" priority="611" operator="equal">
      <formula>"Muy Baja"</formula>
    </cfRule>
  </conditionalFormatting>
  <conditionalFormatting sqref="J62">
    <cfRule type="cellIs" dxfId="108" priority="524" operator="equal">
      <formula>"Alta"</formula>
    </cfRule>
    <cfRule type="cellIs" dxfId="107" priority="527" operator="equal">
      <formula>"Muy Baja"</formula>
    </cfRule>
    <cfRule type="cellIs" dxfId="106" priority="526" operator="equal">
      <formula>"Baja"</formula>
    </cfRule>
    <cfRule type="cellIs" dxfId="105" priority="525" operator="equal">
      <formula>"Media"</formula>
    </cfRule>
    <cfRule type="cellIs" dxfId="104" priority="523" operator="equal">
      <formula>"Muy Alta"</formula>
    </cfRule>
  </conditionalFormatting>
  <conditionalFormatting sqref="J68">
    <cfRule type="cellIs" dxfId="103" priority="499" operator="equal">
      <formula>"Muy Baja"</formula>
    </cfRule>
    <cfRule type="cellIs" dxfId="102" priority="497" operator="equal">
      <formula>"Media"</formula>
    </cfRule>
    <cfRule type="cellIs" dxfId="101" priority="496" operator="equal">
      <formula>"Alta"</formula>
    </cfRule>
    <cfRule type="cellIs" dxfId="100" priority="495" operator="equal">
      <formula>"Muy Alta"</formula>
    </cfRule>
    <cfRule type="cellIs" dxfId="99" priority="498" operator="equal">
      <formula>"Baja"</formula>
    </cfRule>
  </conditionalFormatting>
  <conditionalFormatting sqref="J74">
    <cfRule type="cellIs" dxfId="98" priority="54" operator="equal">
      <formula>"Baja"</formula>
    </cfRule>
    <cfRule type="cellIs" dxfId="97" priority="55" operator="equal">
      <formula>"Muy Baja"</formula>
    </cfRule>
    <cfRule type="cellIs" dxfId="96" priority="52" operator="equal">
      <formula>"Alta"</formula>
    </cfRule>
    <cfRule type="cellIs" dxfId="95" priority="51" operator="equal">
      <formula>"Muy Alta"</formula>
    </cfRule>
    <cfRule type="cellIs" dxfId="94" priority="53" operator="equal">
      <formula>"Media"</formula>
    </cfRule>
  </conditionalFormatting>
  <conditionalFormatting sqref="J80">
    <cfRule type="cellIs" dxfId="93" priority="44" operator="equal">
      <formula>"Media"</formula>
    </cfRule>
    <cfRule type="cellIs" dxfId="92" priority="43" operator="equal">
      <formula>"Alta"</formula>
    </cfRule>
    <cfRule type="cellIs" dxfId="91" priority="42" operator="equal">
      <formula>"Muy Alta"</formula>
    </cfRule>
    <cfRule type="cellIs" dxfId="90" priority="45" operator="equal">
      <formula>"Baja"</formula>
    </cfRule>
    <cfRule type="cellIs" dxfId="89" priority="46" operator="equal">
      <formula>"Muy Baja"</formula>
    </cfRule>
  </conditionalFormatting>
  <conditionalFormatting sqref="M14:M85">
    <cfRule type="containsText" dxfId="88" priority="84" operator="containsText" text="❌">
      <formula>NOT(ISERROR(SEARCH("❌",M14)))</formula>
    </cfRule>
  </conditionalFormatting>
  <conditionalFormatting sqref="N14 N32 AC44:AC85 N62 N68 N74 N80">
    <cfRule type="cellIs" dxfId="87" priority="786" operator="equal">
      <formula>"Moderado"</formula>
    </cfRule>
    <cfRule type="cellIs" dxfId="86" priority="787" operator="equal">
      <formula>"Menor"</formula>
    </cfRule>
    <cfRule type="cellIs" dxfId="85" priority="788" operator="equal">
      <formula>"Leve"</formula>
    </cfRule>
    <cfRule type="cellIs" dxfId="84" priority="784" operator="equal">
      <formula>"Catastrófico"</formula>
    </cfRule>
    <cfRule type="cellIs" dxfId="83" priority="785" operator="equal">
      <formula>"Mayor"</formula>
    </cfRule>
  </conditionalFormatting>
  <conditionalFormatting sqref="N20 N26">
    <cfRule type="cellIs" dxfId="82" priority="37" operator="equal">
      <formula>"Leve"</formula>
    </cfRule>
    <cfRule type="cellIs" dxfId="81" priority="33" operator="equal">
      <formula>"Catastrófico"</formula>
    </cfRule>
    <cfRule type="cellIs" dxfId="80" priority="34" operator="equal">
      <formula>"Mayor"</formula>
    </cfRule>
    <cfRule type="cellIs" dxfId="79" priority="35" operator="equal">
      <formula>"Moderado"</formula>
    </cfRule>
    <cfRule type="cellIs" dxfId="78" priority="36" operator="equal">
      <formula>"Menor"</formula>
    </cfRule>
  </conditionalFormatting>
  <conditionalFormatting sqref="N38">
    <cfRule type="cellIs" dxfId="77" priority="180" operator="equal">
      <formula>"Mayor"</formula>
    </cfRule>
    <cfRule type="cellIs" dxfId="76" priority="183" operator="equal">
      <formula>"Leve"</formula>
    </cfRule>
    <cfRule type="cellIs" dxfId="75" priority="181" operator="equal">
      <formula>"Moderado"</formula>
    </cfRule>
    <cfRule type="cellIs" dxfId="74" priority="179" operator="equal">
      <formula>"Catastrófico"</formula>
    </cfRule>
    <cfRule type="cellIs" dxfId="73" priority="182" operator="equal">
      <formula>"Menor"</formula>
    </cfRule>
  </conditionalFormatting>
  <conditionalFormatting sqref="N44">
    <cfRule type="cellIs" dxfId="72" priority="194" operator="equal">
      <formula>"Mayor"</formula>
    </cfRule>
    <cfRule type="cellIs" dxfId="71" priority="193" operator="equal">
      <formula>"Catastrófico"</formula>
    </cfRule>
    <cfRule type="cellIs" dxfId="70" priority="195" operator="equal">
      <formula>"Moderado"</formula>
    </cfRule>
    <cfRule type="cellIs" dxfId="69" priority="196" operator="equal">
      <formula>"Menor"</formula>
    </cfRule>
    <cfRule type="cellIs" dxfId="68" priority="197" operator="equal">
      <formula>"Leve"</formula>
    </cfRule>
  </conditionalFormatting>
  <conditionalFormatting sqref="N50">
    <cfRule type="cellIs" dxfId="67" priority="154" operator="equal">
      <formula>"Leve"</formula>
    </cfRule>
    <cfRule type="cellIs" dxfId="66" priority="153" operator="equal">
      <formula>"Menor"</formula>
    </cfRule>
    <cfRule type="cellIs" dxfId="65" priority="152" operator="equal">
      <formula>"Moderado"</formula>
    </cfRule>
    <cfRule type="cellIs" dxfId="64" priority="151" operator="equal">
      <formula>"Mayor"</formula>
    </cfRule>
    <cfRule type="cellIs" dxfId="63" priority="150" operator="equal">
      <formula>"Catastrófico"</formula>
    </cfRule>
  </conditionalFormatting>
  <conditionalFormatting sqref="N56">
    <cfRule type="cellIs" dxfId="62" priority="89" operator="equal">
      <formula>"Catastrófico"</formula>
    </cfRule>
    <cfRule type="cellIs" dxfId="61" priority="90" operator="equal">
      <formula>"Mayor"</formula>
    </cfRule>
    <cfRule type="cellIs" dxfId="60" priority="91" operator="equal">
      <formula>"Moderado"</formula>
    </cfRule>
    <cfRule type="cellIs" dxfId="59" priority="92" operator="equal">
      <formula>"Menor"</formula>
    </cfRule>
    <cfRule type="cellIs" dxfId="58" priority="93" operator="equal">
      <formula>"Leve"</formula>
    </cfRule>
  </conditionalFormatting>
  <conditionalFormatting sqref="P14 AE44:AE85">
    <cfRule type="cellIs" dxfId="57" priority="783" operator="equal">
      <formula>"Bajo"</formula>
    </cfRule>
    <cfRule type="cellIs" dxfId="56" priority="782" operator="equal">
      <formula>"Moderado"</formula>
    </cfRule>
    <cfRule type="cellIs" dxfId="55" priority="781" operator="equal">
      <formula>"Alto"</formula>
    </cfRule>
    <cfRule type="cellIs" dxfId="54" priority="780" operator="equal">
      <formula>"Extremo"</formula>
    </cfRule>
  </conditionalFormatting>
  <conditionalFormatting sqref="P20 P26">
    <cfRule type="cellIs" dxfId="53" priority="31" operator="equal">
      <formula>"Moderado"</formula>
    </cfRule>
    <cfRule type="cellIs" dxfId="52" priority="30" operator="equal">
      <formula>"Alto"</formula>
    </cfRule>
    <cfRule type="cellIs" dxfId="51" priority="29" operator="equal">
      <formula>"Extremo"</formula>
    </cfRule>
    <cfRule type="cellIs" dxfId="50" priority="32" operator="equal">
      <formula>"Bajo"</formula>
    </cfRule>
  </conditionalFormatting>
  <conditionalFormatting sqref="P32">
    <cfRule type="cellIs" dxfId="49" priority="713" operator="equal">
      <formula>"Bajo"</formula>
    </cfRule>
    <cfRule type="cellIs" dxfId="48" priority="710" operator="equal">
      <formula>"Extremo"</formula>
    </cfRule>
    <cfRule type="cellIs" dxfId="47" priority="712" operator="equal">
      <formula>"Moderado"</formula>
    </cfRule>
    <cfRule type="cellIs" dxfId="46" priority="711" operator="equal">
      <formula>"Alto"</formula>
    </cfRule>
  </conditionalFormatting>
  <conditionalFormatting sqref="P38">
    <cfRule type="cellIs" dxfId="45" priority="178" operator="equal">
      <formula>"Bajo"</formula>
    </cfRule>
    <cfRule type="cellIs" dxfId="44" priority="177" operator="equal">
      <formula>"Moderado"</formula>
    </cfRule>
    <cfRule type="cellIs" dxfId="43" priority="176" operator="equal">
      <formula>"Alto"</formula>
    </cfRule>
    <cfRule type="cellIs" dxfId="42" priority="175" operator="equal">
      <formula>"Extremo"</formula>
    </cfRule>
  </conditionalFormatting>
  <conditionalFormatting sqref="P44">
    <cfRule type="cellIs" dxfId="41" priority="189" operator="equal">
      <formula>"Extremo"</formula>
    </cfRule>
    <cfRule type="cellIs" dxfId="40" priority="190" operator="equal">
      <formula>"Alto"</formula>
    </cfRule>
    <cfRule type="cellIs" dxfId="39" priority="191" operator="equal">
      <formula>"Moderado"</formula>
    </cfRule>
    <cfRule type="cellIs" dxfId="38" priority="192" operator="equal">
      <formula>"Bajo"</formula>
    </cfRule>
  </conditionalFormatting>
  <conditionalFormatting sqref="P50">
    <cfRule type="cellIs" dxfId="37" priority="146" operator="equal">
      <formula>"Extremo"</formula>
    </cfRule>
    <cfRule type="cellIs" dxfId="36" priority="149" operator="equal">
      <formula>"Bajo"</formula>
    </cfRule>
    <cfRule type="cellIs" dxfId="35" priority="147" operator="equal">
      <formula>"Alto"</formula>
    </cfRule>
    <cfRule type="cellIs" dxfId="34" priority="148" operator="equal">
      <formula>"Moderado"</formula>
    </cfRule>
  </conditionalFormatting>
  <conditionalFormatting sqref="P56">
    <cfRule type="cellIs" dxfId="33" priority="86" operator="equal">
      <formula>"Alto"</formula>
    </cfRule>
    <cfRule type="cellIs" dxfId="32" priority="88" operator="equal">
      <formula>"Bajo"</formula>
    </cfRule>
    <cfRule type="cellIs" dxfId="31" priority="87" operator="equal">
      <formula>"Moderado"</formula>
    </cfRule>
    <cfRule type="cellIs" dxfId="30" priority="85" operator="equal">
      <formula>"Extremo"</formula>
    </cfRule>
  </conditionalFormatting>
  <conditionalFormatting sqref="P62">
    <cfRule type="cellIs" dxfId="29" priority="516" operator="equal">
      <formula>"Moderado"</formula>
    </cfRule>
    <cfRule type="cellIs" dxfId="28" priority="517" operator="equal">
      <formula>"Bajo"</formula>
    </cfRule>
    <cfRule type="cellIs" dxfId="27" priority="515" operator="equal">
      <formula>"Alto"</formula>
    </cfRule>
    <cfRule type="cellIs" dxfId="26" priority="514" operator="equal">
      <formula>"Extremo"</formula>
    </cfRule>
  </conditionalFormatting>
  <conditionalFormatting sqref="P68">
    <cfRule type="cellIs" dxfId="25" priority="489" operator="equal">
      <formula>"Bajo"</formula>
    </cfRule>
    <cfRule type="cellIs" dxfId="24" priority="487" operator="equal">
      <formula>"Alto"</formula>
    </cfRule>
    <cfRule type="cellIs" dxfId="23" priority="488" operator="equal">
      <formula>"Moderado"</formula>
    </cfRule>
    <cfRule type="cellIs" dxfId="22" priority="486" operator="equal">
      <formula>"Extremo"</formula>
    </cfRule>
  </conditionalFormatting>
  <conditionalFormatting sqref="P74">
    <cfRule type="cellIs" dxfId="21" priority="48" operator="equal">
      <formula>"Alto"</formula>
    </cfRule>
    <cfRule type="cellIs" dxfId="20" priority="49" operator="equal">
      <formula>"Moderado"</formula>
    </cfRule>
    <cfRule type="cellIs" dxfId="19" priority="50" operator="equal">
      <formula>"Bajo"</formula>
    </cfRule>
    <cfRule type="cellIs" dxfId="18" priority="47" operator="equal">
      <formula>"Extremo"</formula>
    </cfRule>
  </conditionalFormatting>
  <conditionalFormatting sqref="P80">
    <cfRule type="cellIs" dxfId="17" priority="40" operator="equal">
      <formula>"Moderado"</formula>
    </cfRule>
    <cfRule type="cellIs" dxfId="16" priority="39" operator="equal">
      <formula>"Alto"</formula>
    </cfRule>
    <cfRule type="cellIs" dxfId="15" priority="38" operator="equal">
      <formula>"Extremo"</formula>
    </cfRule>
    <cfRule type="cellIs" dxfId="14" priority="41" operator="equal">
      <formula>"Bajo"</formula>
    </cfRule>
  </conditionalFormatting>
  <conditionalFormatting sqref="AA14:AA38">
    <cfRule type="cellIs" dxfId="13" priority="14" operator="equal">
      <formula>"Muy Baja"</formula>
    </cfRule>
    <cfRule type="cellIs" dxfId="12" priority="13" operator="equal">
      <formula>"Baja"</formula>
    </cfRule>
    <cfRule type="cellIs" dxfId="11" priority="12" operator="equal">
      <formula>"Media"</formula>
    </cfRule>
    <cfRule type="cellIs" dxfId="10" priority="11" operator="equal">
      <formula>"Alta"</formula>
    </cfRule>
    <cfRule type="cellIs" dxfId="9" priority="10" operator="equal">
      <formula>"Muy Alta"</formula>
    </cfRule>
  </conditionalFormatting>
  <conditionalFormatting sqref="AC14:AC38">
    <cfRule type="cellIs" dxfId="8" priority="8" operator="equal">
      <formula>"Menor"</formula>
    </cfRule>
    <cfRule type="cellIs" dxfId="7" priority="7" operator="equal">
      <formula>"Moderado"</formula>
    </cfRule>
    <cfRule type="cellIs" dxfId="6" priority="6" operator="equal">
      <formula>"Mayor"</formula>
    </cfRule>
    <cfRule type="cellIs" dxfId="5" priority="5" operator="equal">
      <formula>"Catastrófico"</formula>
    </cfRule>
    <cfRule type="cellIs" dxfId="4" priority="9" operator="equal">
      <formula>"Leve"</formula>
    </cfRule>
  </conditionalFormatting>
  <conditionalFormatting sqref="AE14:AE38">
    <cfRule type="cellIs" dxfId="3" priority="1" operator="equal">
      <formula>"Extremo"</formula>
    </cfRule>
    <cfRule type="cellIs" dxfId="2" priority="2" operator="equal">
      <formula>"Alto"</formula>
    </cfRule>
    <cfRule type="cellIs" dxfId="1" priority="4" operator="equal">
      <formula>"Bajo"</formula>
    </cfRule>
    <cfRule type="cellIs" dxfId="0" priority="3" operator="equal">
      <formula>"Moderado"</formula>
    </cfRule>
  </conditionalFormatting>
  <printOptions horizontalCentered="1" verticalCentered="1"/>
  <pageMargins left="0.15748031496062992" right="0.15748031496062992" top="0.15748031496062992" bottom="0.15748031496062992" header="0" footer="0"/>
  <pageSetup paperSize="258" scale="25" fitToHeight="0" orientation="landscape"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AM14:AM15 AM17:AM18 AM32:AM33 AM35:AM36 AM44:AM45 AM47:AM48 AM50:AM51 AM53:AM54 AM56:AM57 AM59:AM60 AM26:AM27 AM29:AM30 AM20:AM21 AM23:AM24 AM62:AM63 AM65:AM66 AM68:AM69 AM71:AM72 AM74:AM75 AM77:AM78 AM80:AM81 AM83:AM84</xm:sqref>
        </x14:dataValidation>
        <x14:dataValidation type="list" allowBlank="1" showInputMessage="1" showErrorMessage="1" xr:uid="{00000000-0002-0000-0100-000000000000}">
          <x14:formula1>
            <xm:f>'Tabla Valoración controles'!$D$8:$D$10</xm:f>
          </x14:formula1>
          <xm:sqref>T45:T49 T51:T55 T33:T37 T14:T31 T60:T61 T63:T85</xm:sqref>
        </x14:dataValidation>
        <x14:dataValidation type="list" allowBlank="1" showInputMessage="1" showErrorMessage="1" xr:uid="{00000000-0002-0000-0100-000001000000}">
          <x14:formula1>
            <xm:f>'Tabla Valoración controles'!$D$11:$D$12</xm:f>
          </x14:formula1>
          <xm:sqref>U45:U49 U51:U55 U33:U37 U14:U31 U60:U61 U63:U85</xm:sqref>
        </x14:dataValidation>
        <x14:dataValidation type="list" allowBlank="1" showInputMessage="1" showErrorMessage="1" xr:uid="{00000000-0002-0000-0100-000002000000}">
          <x14:formula1>
            <xm:f>'Tabla Valoración controles'!$D$13:$D$14</xm:f>
          </x14:formula1>
          <xm:sqref>W45:W49 W51:W55 W33:W37 W14:W31 W60:W61 W63:W85</xm:sqref>
        </x14:dataValidation>
        <x14:dataValidation type="list" allowBlank="1" showInputMessage="1" showErrorMessage="1" xr:uid="{00000000-0002-0000-0100-000003000000}">
          <x14:formula1>
            <xm:f>'Tabla Valoración controles'!$D$15:$D$16</xm:f>
          </x14:formula1>
          <xm:sqref>X45:X49 X51:X55 X33:X37 X14:X31 X60:X61 X63:X85</xm:sqref>
        </x14:dataValidation>
        <x14:dataValidation type="list" allowBlank="1" showInputMessage="1" showErrorMessage="1" xr:uid="{00000000-0002-0000-0100-000005000000}">
          <x14:formula1>
            <xm:f>'Tabla Valoración controles'!$D$17:$D$18</xm:f>
          </x14:formula1>
          <xm:sqref>Y45:Y49 Y51:Y55 Y33:Y37 Y14:Y31 Y60:Y61 Y63:Y85</xm:sqref>
        </x14:dataValidation>
        <x14:dataValidation type="list" allowBlank="1" showInputMessage="1" showErrorMessage="1" xr:uid="{00000000-0002-0000-0100-000006000000}">
          <x14:formula1>
            <xm:f>'Opciones Tratamiento'!$B$13:$B$19</xm:f>
          </x14:formula1>
          <xm:sqref>H62:H85 H14:H37</xm:sqref>
        </x14:dataValidation>
        <x14:dataValidation type="list" allowBlank="1" showInputMessage="1" showErrorMessage="1" xr:uid="{00000000-0002-0000-0100-000007000000}">
          <x14:formula1>
            <xm:f>'Opciones Tratamiento'!$E$2:$E$4</xm:f>
          </x14:formula1>
          <xm:sqref>D14:D31 D62:D85</xm:sqref>
        </x14:dataValidation>
        <x14:dataValidation type="list" allowBlank="1" showInputMessage="1" showErrorMessage="1" xr:uid="{00000000-0002-0000-0100-000008000000}">
          <x14:formula1>
            <xm:f>'Opciones Tratamiento'!$B$2:$B$5</xm:f>
          </x14:formula1>
          <xm:sqref>AF45:AF49 AF51:AF55 AF33:AF37 AF14:AF31 AF60:AF61 AF63:AF85</xm:sqref>
        </x14:dataValidation>
        <x14:dataValidation type="list" allowBlank="1" showInputMessage="1" showErrorMessage="1" xr:uid="{00000000-0002-0000-0100-000009000000}">
          <x14:formula1>
            <xm:f>'Tabla Impacto'!$G$214:$G$225</xm:f>
          </x14:formula1>
          <xm:sqref>L14:L85</xm:sqref>
        </x14:dataValidation>
        <x14:dataValidation type="custom" allowBlank="1" showInputMessage="1" showErrorMessage="1" error="Recuerde que las acciones se generan bajo la medida de mitigar el riesgo" xr:uid="{00000000-0002-0000-0100-00000A000000}">
          <x14:formula1>
            <xm:f>IF(OR(AF14='Opciones Tratamiento'!$B$2,AF14='Opciones Tratamiento'!$B$3,AF14='Opciones Tratamiento'!$B$4),ISBLANK(AF14),ISTEXT(AF14))</xm:f>
          </x14:formula1>
          <xm:sqref>AG51:AG55 AG45:AG49 AG14 AG27:AG31 AG60:AG85 AG16:AG19 AG33:AG37 AG21:AG25</xm:sqref>
        </x14:dataValidation>
        <x14:dataValidation type="custom" allowBlank="1" showInputMessage="1" showErrorMessage="1" error="Recuerde que las acciones se generan bajo la medida de mitigar el riesgo" xr:uid="{00000000-0002-0000-0100-00000B000000}">
          <x14:formula1>
            <xm:f>IF(OR(AF14='Opciones Tratamiento'!$B$2,AF14='Opciones Tratamiento'!$B$3,AF14='Opciones Tratamiento'!$B$4),ISBLANK(AF14),ISTEXT(AF14))</xm:f>
          </x14:formula1>
          <xm:sqref>AH45:AH49 AH51:AH55 AH14 AH27:AH31 AH60:AH85 AH16:AH19 AH33:AH37 AH21:AH25</xm:sqref>
        </x14:dataValidation>
        <x14:dataValidation type="custom" allowBlank="1" showInputMessage="1" showErrorMessage="1" error="Recuerde que las acciones se generan bajo la medida de mitigar el riesgo" xr:uid="{00000000-0002-0000-0100-00000C000000}">
          <x14:formula1>
            <xm:f>IF(OR(AF14='Opciones Tratamiento'!$B$2,AF14='Opciones Tratamiento'!$B$3,AF14='Opciones Tratamiento'!$B$4),ISBLANK(AF14),ISTEXT(AF14))</xm:f>
          </x14:formula1>
          <xm:sqref>AI14:AJ39 AI44:AJ85</xm:sqref>
        </x14:dataValidation>
        <x14:dataValidation type="custom" allowBlank="1" showInputMessage="1" showErrorMessage="1" error="Recuerde que las acciones se generan bajo la medida de mitigar el riesgo" xr:uid="{00000000-0002-0000-0100-00000D000000}">
          <x14:formula1>
            <xm:f>IF(OR(AF14='Opciones Tratamiento'!$B$2,AF14='Opciones Tratamiento'!$B$3,AF14='Opciones Tratamiento'!$B$4),ISBLANK(AF14),ISTEXT(AF14))</xm:f>
          </x14:formula1>
          <xm:sqref>AK44:AK85 AK14:AK37</xm:sqref>
        </x14:dataValidation>
        <x14:dataValidation type="custom" allowBlank="1" showInputMessage="1" showErrorMessage="1" error="Recuerde que las acciones se generan bajo la medida de mitigar el riesgo" xr:uid="{00000000-0002-0000-0100-00000E000000}">
          <x14:formula1>
            <xm:f>IF(OR(AF14='Opciones Tratamiento'!$B$2,AF14='Opciones Tratamiento'!$B$3,AF14='Opciones Tratamiento'!$B$4),ISBLANK(AF14),ISTEXT(AF14))</xm:f>
          </x14:formula1>
          <xm:sqref>AL44:AL85 AL14:AL37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566CD-7543-446E-A850-BFCC444671CB}">
  <dimension ref="A1:F8"/>
  <sheetViews>
    <sheetView workbookViewId="0">
      <selection activeCell="E15" sqref="E15"/>
    </sheetView>
  </sheetViews>
  <sheetFormatPr baseColWidth="10" defaultRowHeight="12.75" x14ac:dyDescent="0.2"/>
  <cols>
    <col min="1" max="1" width="14.7109375" style="111" customWidth="1"/>
    <col min="2" max="2" width="26.5703125" style="115" customWidth="1"/>
    <col min="3" max="3" width="25.85546875" style="111" customWidth="1"/>
    <col min="4" max="4" width="15.85546875" style="111" customWidth="1"/>
    <col min="5" max="5" width="22.28515625" style="111" customWidth="1"/>
    <col min="6" max="6" width="19.7109375" style="111" customWidth="1"/>
    <col min="7" max="16384" width="11.42578125" style="111"/>
  </cols>
  <sheetData>
    <row r="1" spans="1:6" x14ac:dyDescent="0.2">
      <c r="A1" s="107" t="s">
        <v>374</v>
      </c>
      <c r="B1" s="108"/>
      <c r="C1" s="109"/>
      <c r="D1" s="108"/>
      <c r="E1" s="108"/>
      <c r="F1" s="110"/>
    </row>
    <row r="2" spans="1:6" x14ac:dyDescent="0.2">
      <c r="A2" s="106" t="s">
        <v>369</v>
      </c>
      <c r="B2" s="106" t="s">
        <v>375</v>
      </c>
      <c r="C2" s="112" t="s">
        <v>376</v>
      </c>
      <c r="D2" s="106" t="s">
        <v>370</v>
      </c>
      <c r="E2" s="106" t="s">
        <v>371</v>
      </c>
      <c r="F2" s="106" t="s">
        <v>372</v>
      </c>
    </row>
    <row r="3" spans="1:6" s="189" customFormat="1" ht="114.75" x14ac:dyDescent="0.2">
      <c r="A3" s="185">
        <v>0</v>
      </c>
      <c r="B3" s="186">
        <v>45679</v>
      </c>
      <c r="C3" s="187" t="s">
        <v>385</v>
      </c>
      <c r="D3" s="188" t="s">
        <v>382</v>
      </c>
      <c r="E3" s="188" t="s">
        <v>383</v>
      </c>
      <c r="F3" s="188" t="s">
        <v>384</v>
      </c>
    </row>
    <row r="4" spans="1:6" s="115" customFormat="1" x14ac:dyDescent="0.25">
      <c r="A4" s="113">
        <v>1</v>
      </c>
      <c r="B4" s="114"/>
      <c r="C4" s="105"/>
      <c r="D4" s="116"/>
      <c r="E4" s="116"/>
      <c r="F4" s="116"/>
    </row>
    <row r="6" spans="1:6" x14ac:dyDescent="0.2">
      <c r="A6" s="425"/>
      <c r="B6" s="425"/>
      <c r="C6" s="425"/>
      <c r="D6" s="425"/>
      <c r="E6" s="425"/>
      <c r="F6" s="425"/>
    </row>
    <row r="7" spans="1:6" x14ac:dyDescent="0.2">
      <c r="A7" s="425"/>
      <c r="B7" s="425"/>
      <c r="C7" s="425"/>
      <c r="D7" s="425"/>
      <c r="E7" s="425"/>
      <c r="F7" s="425"/>
    </row>
    <row r="8" spans="1:6" x14ac:dyDescent="0.2">
      <c r="A8" s="425"/>
      <c r="B8" s="425"/>
      <c r="C8" s="425"/>
      <c r="D8" s="425"/>
      <c r="E8" s="425"/>
      <c r="F8" s="425"/>
    </row>
  </sheetData>
  <mergeCells count="1">
    <mergeCell ref="A6: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J16" sqref="AJ16:AK17"/>
    </sheetView>
  </sheetViews>
  <sheetFormatPr baseColWidth="10" defaultColWidth="11.42578125" defaultRowHeight="15" x14ac:dyDescent="0.25"/>
  <cols>
    <col min="2" max="39" width="5.7109375" customWidth="1"/>
    <col min="41" max="46" width="5.7109375" customWidth="1"/>
  </cols>
  <sheetData>
    <row r="1" spans="1:99"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row>
    <row r="2" spans="1:99" ht="18" customHeight="1" x14ac:dyDescent="0.25">
      <c r="A2" s="41"/>
      <c r="B2" s="426" t="s">
        <v>109</v>
      </c>
      <c r="C2" s="426"/>
      <c r="D2" s="426"/>
      <c r="E2" s="426"/>
      <c r="F2" s="426"/>
      <c r="G2" s="426"/>
      <c r="H2" s="426"/>
      <c r="I2" s="426"/>
      <c r="J2" s="463" t="s">
        <v>17</v>
      </c>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row>
    <row r="3" spans="1:99" ht="18.75" customHeight="1" x14ac:dyDescent="0.25">
      <c r="A3" s="41"/>
      <c r="B3" s="426"/>
      <c r="C3" s="426"/>
      <c r="D3" s="426"/>
      <c r="E3" s="426"/>
      <c r="F3" s="426"/>
      <c r="G3" s="426"/>
      <c r="H3" s="426"/>
      <c r="I3" s="426"/>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row>
    <row r="4" spans="1:99" ht="15" customHeight="1" x14ac:dyDescent="0.25">
      <c r="A4" s="41"/>
      <c r="B4" s="426"/>
      <c r="C4" s="426"/>
      <c r="D4" s="426"/>
      <c r="E4" s="426"/>
      <c r="F4" s="426"/>
      <c r="G4" s="426"/>
      <c r="H4" s="426"/>
      <c r="I4" s="426"/>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row>
    <row r="5" spans="1:99" ht="15.75" thickBot="1" x14ac:dyDescent="0.3">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row>
    <row r="6" spans="1:99" ht="15" customHeight="1" x14ac:dyDescent="0.25">
      <c r="A6" s="41"/>
      <c r="B6" s="474" t="s">
        <v>110</v>
      </c>
      <c r="C6" s="474"/>
      <c r="D6" s="475"/>
      <c r="E6" s="464" t="s">
        <v>111</v>
      </c>
      <c r="F6" s="465"/>
      <c r="G6" s="465"/>
      <c r="H6" s="465"/>
      <c r="I6" s="466"/>
      <c r="J6" s="460" t="str">
        <f>IF(AND('1. Mapa de Riesgos'!$J$14="Muy Alta",'1. Mapa de Riesgos'!$N$14="Leve"),CONCATENATE("R",'1. Mapa de Riesgos'!$B$14),"")</f>
        <v/>
      </c>
      <c r="K6" s="461"/>
      <c r="L6" s="461" t="str">
        <f>IF(AND('1. Mapa de Riesgos'!$J$32="Muy Alta",'1. Mapa de Riesgos'!$N$32="Leve"),CONCATENATE("R",'1. Mapa de Riesgos'!$B$32),"")</f>
        <v/>
      </c>
      <c r="M6" s="461"/>
      <c r="N6" s="461" t="str">
        <f>IF(AND('1. Mapa de Riesgos'!$J$38="Muy Alta",'1. Mapa de Riesgos'!$N$38="Leve"),CONCATENATE("R",'1. Mapa de Riesgos'!$B$38),"")</f>
        <v/>
      </c>
      <c r="O6" s="462"/>
      <c r="P6" s="460" t="str">
        <f>IF(AND('1. Mapa de Riesgos'!$J$14="Muy Alta",'1. Mapa de Riesgos'!$N$14="Menor"),CONCATENATE("R",'1. Mapa de Riesgos'!$B$14),"")</f>
        <v/>
      </c>
      <c r="Q6" s="461"/>
      <c r="R6" s="461" t="str">
        <f>IF(AND('1. Mapa de Riesgos'!$J$32="Muy Alta",'1. Mapa de Riesgos'!$N$32="Menor"),CONCATENATE("R",'1. Mapa de Riesgos'!$B$32),"")</f>
        <v/>
      </c>
      <c r="S6" s="461"/>
      <c r="T6" s="461" t="str">
        <f>IF(AND('1. Mapa de Riesgos'!$J$38="Muy Alta",'1. Mapa de Riesgos'!$N$38="Menor"),CONCATENATE("R",'1. Mapa de Riesgos'!$B$38),"")</f>
        <v/>
      </c>
      <c r="U6" s="462"/>
      <c r="V6" s="460" t="str">
        <f>IF(AND('1. Mapa de Riesgos'!$J$14="Muy Alta",'1. Mapa de Riesgos'!$N$14="Moderado"),CONCATENATE("R",'1. Mapa de Riesgos'!$B$14),"")</f>
        <v/>
      </c>
      <c r="W6" s="461"/>
      <c r="X6" s="461" t="str">
        <f>IF(AND('1. Mapa de Riesgos'!$J$32="Muy Alta",'1. Mapa de Riesgos'!$N$32="Moderado"),CONCATENATE("R",'1. Mapa de Riesgos'!$B$32),"")</f>
        <v/>
      </c>
      <c r="Y6" s="461"/>
      <c r="Z6" s="461" t="str">
        <f>IF(AND('1. Mapa de Riesgos'!$J$38="Muy Alta",'1. Mapa de Riesgos'!$N$38="Moderado"),CONCATENATE("R",'1. Mapa de Riesgos'!$B$38),"")</f>
        <v/>
      </c>
      <c r="AA6" s="462"/>
      <c r="AB6" s="460" t="str">
        <f>IF(AND('1. Mapa de Riesgos'!$J$14="Muy Alta",'1. Mapa de Riesgos'!$N$14="Mayor"),CONCATENATE("R",'1. Mapa de Riesgos'!$B$14),"")</f>
        <v/>
      </c>
      <c r="AC6" s="461"/>
      <c r="AD6" s="461" t="str">
        <f>IF(AND('1. Mapa de Riesgos'!$J$32="Muy Alta",'1. Mapa de Riesgos'!$N$32="Mayor"),CONCATENATE("R",'1. Mapa de Riesgos'!$B$32),"")</f>
        <v/>
      </c>
      <c r="AE6" s="461"/>
      <c r="AF6" s="461" t="str">
        <f>IF(AND('1. Mapa de Riesgos'!$J$38="Muy Alta",'1. Mapa de Riesgos'!$N$38="Mayor"),CONCATENATE("R",'1. Mapa de Riesgos'!$B$38),"")</f>
        <v/>
      </c>
      <c r="AG6" s="462"/>
      <c r="AH6" s="451" t="str">
        <f>IF(AND('1. Mapa de Riesgos'!$J$14="Muy Alta",'1. Mapa de Riesgos'!$N$14="Catastrófico"),CONCATENATE("R",'1. Mapa de Riesgos'!$B$14),"")</f>
        <v/>
      </c>
      <c r="AI6" s="452"/>
      <c r="AJ6" s="452" t="str">
        <f>IF(AND('1. Mapa de Riesgos'!$J$32="Muy Alta",'1. Mapa de Riesgos'!$N$32="Catastrófico"),CONCATENATE("R",'1. Mapa de Riesgos'!$B$32),"")</f>
        <v/>
      </c>
      <c r="AK6" s="452"/>
      <c r="AL6" s="452" t="str">
        <f>IF(AND('1. Mapa de Riesgos'!$J$38="Muy Alta",'1. Mapa de Riesgos'!$N$38="Catastrófico"),CONCATENATE("R",'1. Mapa de Riesgos'!$B$38),"")</f>
        <v/>
      </c>
      <c r="AM6" s="453"/>
      <c r="AO6" s="476" t="s">
        <v>112</v>
      </c>
      <c r="AP6" s="477"/>
      <c r="AQ6" s="477"/>
      <c r="AR6" s="477"/>
      <c r="AS6" s="477"/>
      <c r="AT6" s="478"/>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row>
    <row r="7" spans="1:99" ht="15" customHeight="1" x14ac:dyDescent="0.25">
      <c r="A7" s="41"/>
      <c r="B7" s="474"/>
      <c r="C7" s="474"/>
      <c r="D7" s="475"/>
      <c r="E7" s="467"/>
      <c r="F7" s="468"/>
      <c r="G7" s="468"/>
      <c r="H7" s="468"/>
      <c r="I7" s="469"/>
      <c r="J7" s="454"/>
      <c r="K7" s="455"/>
      <c r="L7" s="455"/>
      <c r="M7" s="455"/>
      <c r="N7" s="455"/>
      <c r="O7" s="456"/>
      <c r="P7" s="454"/>
      <c r="Q7" s="455"/>
      <c r="R7" s="455"/>
      <c r="S7" s="455"/>
      <c r="T7" s="455"/>
      <c r="U7" s="456"/>
      <c r="V7" s="454"/>
      <c r="W7" s="455"/>
      <c r="X7" s="455"/>
      <c r="Y7" s="455"/>
      <c r="Z7" s="455"/>
      <c r="AA7" s="456"/>
      <c r="AB7" s="454"/>
      <c r="AC7" s="455"/>
      <c r="AD7" s="455"/>
      <c r="AE7" s="455"/>
      <c r="AF7" s="455"/>
      <c r="AG7" s="456"/>
      <c r="AH7" s="445"/>
      <c r="AI7" s="446"/>
      <c r="AJ7" s="446"/>
      <c r="AK7" s="446"/>
      <c r="AL7" s="446"/>
      <c r="AM7" s="447"/>
      <c r="AN7" s="41"/>
      <c r="AO7" s="479"/>
      <c r="AP7" s="480"/>
      <c r="AQ7" s="480"/>
      <c r="AR7" s="480"/>
      <c r="AS7" s="480"/>
      <c r="AT7" s="48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row>
    <row r="8" spans="1:99" ht="15" customHeight="1" x14ac:dyDescent="0.25">
      <c r="A8" s="41"/>
      <c r="B8" s="474"/>
      <c r="C8" s="474"/>
      <c r="D8" s="475"/>
      <c r="E8" s="467"/>
      <c r="F8" s="468"/>
      <c r="G8" s="468"/>
      <c r="H8" s="468"/>
      <c r="I8" s="469"/>
      <c r="J8" s="454" t="str">
        <f>IF(AND('1. Mapa de Riesgos'!$J$50="Muy Alta",'1. Mapa de Riesgos'!$N$50="Leve"),CONCATENATE("R",'1. Mapa de Riesgos'!$B$50),"")</f>
        <v/>
      </c>
      <c r="K8" s="455"/>
      <c r="L8" s="455" t="e">
        <f>IF(AND('1. Mapa de Riesgos'!#REF!="Muy Alta",'1. Mapa de Riesgos'!#REF!="Leve"),CONCATENATE("R",'1. Mapa de Riesgos'!#REF!),"")</f>
        <v>#REF!</v>
      </c>
      <c r="M8" s="455"/>
      <c r="N8" s="455" t="str">
        <f>IF(AND('1. Mapa de Riesgos'!$J$56="Muy Alta",'1. Mapa de Riesgos'!$N$56="Leve"),CONCATENATE("R",'1. Mapa de Riesgos'!$B$56),"")</f>
        <v/>
      </c>
      <c r="O8" s="456"/>
      <c r="P8" s="454" t="str">
        <f>IF(AND('1. Mapa de Riesgos'!$J$50="Muy Alta",'1. Mapa de Riesgos'!$N$50="Menor"),CONCATENATE("R",'1. Mapa de Riesgos'!$B$50),"")</f>
        <v/>
      </c>
      <c r="Q8" s="455"/>
      <c r="R8" s="455" t="e">
        <f>IF(AND('1. Mapa de Riesgos'!#REF!="Muy Alta",'1. Mapa de Riesgos'!#REF!="Menor"),CONCATENATE("R",'1. Mapa de Riesgos'!#REF!),"")</f>
        <v>#REF!</v>
      </c>
      <c r="S8" s="455"/>
      <c r="T8" s="455" t="str">
        <f>IF(AND('1. Mapa de Riesgos'!$J$56="Muy Alta",'1. Mapa de Riesgos'!$N$56="Menor"),CONCATENATE("R",'1. Mapa de Riesgos'!$B$56),"")</f>
        <v/>
      </c>
      <c r="U8" s="456"/>
      <c r="V8" s="454" t="str">
        <f>IF(AND('1. Mapa de Riesgos'!$J$50="Muy Alta",'1. Mapa de Riesgos'!$N$50="Moderado"),CONCATENATE("R",'1. Mapa de Riesgos'!$B$50),"")</f>
        <v/>
      </c>
      <c r="W8" s="455"/>
      <c r="X8" s="455" t="e">
        <f>IF(AND('1. Mapa de Riesgos'!#REF!="Muy Alta",'1. Mapa de Riesgos'!#REF!="Moderado"),CONCATENATE("R",'1. Mapa de Riesgos'!#REF!),"")</f>
        <v>#REF!</v>
      </c>
      <c r="Y8" s="455"/>
      <c r="Z8" s="455" t="str">
        <f>IF(AND('1. Mapa de Riesgos'!$J$56="Muy Alta",'1. Mapa de Riesgos'!$N$56="Moderado"),CONCATENATE("R",'1. Mapa de Riesgos'!$B$56),"")</f>
        <v/>
      </c>
      <c r="AA8" s="456"/>
      <c r="AB8" s="454" t="str">
        <f>IF(AND('1. Mapa de Riesgos'!$J$50="Muy Alta",'1. Mapa de Riesgos'!$N$50="Mayor"),CONCATENATE("R",'1. Mapa de Riesgos'!$B$50),"")</f>
        <v/>
      </c>
      <c r="AC8" s="455"/>
      <c r="AD8" s="455" t="e">
        <f>IF(AND('1. Mapa de Riesgos'!#REF!="Muy Alta",'1. Mapa de Riesgos'!#REF!="Mayor"),CONCATENATE("R",'1. Mapa de Riesgos'!#REF!),"")</f>
        <v>#REF!</v>
      </c>
      <c r="AE8" s="455"/>
      <c r="AF8" s="455" t="str">
        <f>IF(AND('1. Mapa de Riesgos'!$J$56="Muy Alta",'1. Mapa de Riesgos'!$N$56="Mayor"),CONCATENATE("R",'1. Mapa de Riesgos'!$B$56),"")</f>
        <v/>
      </c>
      <c r="AG8" s="456"/>
      <c r="AH8" s="445" t="str">
        <f>IF(AND('1. Mapa de Riesgos'!$J$50="Muy Alta",'1. Mapa de Riesgos'!$N$50="Catastrófico"),CONCATENATE("R",'1. Mapa de Riesgos'!$B$50),"")</f>
        <v/>
      </c>
      <c r="AI8" s="446"/>
      <c r="AJ8" s="446" t="e">
        <f>IF(AND('1. Mapa de Riesgos'!#REF!="Muy Alta",'1. Mapa de Riesgos'!#REF!="Catastrófico"),CONCATENATE("R",'1. Mapa de Riesgos'!#REF!),"")</f>
        <v>#REF!</v>
      </c>
      <c r="AK8" s="446"/>
      <c r="AL8" s="446" t="str">
        <f>IF(AND('1. Mapa de Riesgos'!$J$56="Muy Alta",'1. Mapa de Riesgos'!$N$56="Catastrófico"),CONCATENATE("R",'1. Mapa de Riesgos'!$B$56),"")</f>
        <v/>
      </c>
      <c r="AM8" s="447"/>
      <c r="AN8" s="41"/>
      <c r="AO8" s="479"/>
      <c r="AP8" s="480"/>
      <c r="AQ8" s="480"/>
      <c r="AR8" s="480"/>
      <c r="AS8" s="480"/>
      <c r="AT8" s="48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row>
    <row r="9" spans="1:99" ht="15" customHeight="1" x14ac:dyDescent="0.25">
      <c r="A9" s="41"/>
      <c r="B9" s="474"/>
      <c r="C9" s="474"/>
      <c r="D9" s="475"/>
      <c r="E9" s="467"/>
      <c r="F9" s="468"/>
      <c r="G9" s="468"/>
      <c r="H9" s="468"/>
      <c r="I9" s="469"/>
      <c r="J9" s="454"/>
      <c r="K9" s="455"/>
      <c r="L9" s="455"/>
      <c r="M9" s="455"/>
      <c r="N9" s="455"/>
      <c r="O9" s="456"/>
      <c r="P9" s="454"/>
      <c r="Q9" s="455"/>
      <c r="R9" s="455"/>
      <c r="S9" s="455"/>
      <c r="T9" s="455"/>
      <c r="U9" s="456"/>
      <c r="V9" s="454"/>
      <c r="W9" s="455"/>
      <c r="X9" s="455"/>
      <c r="Y9" s="455"/>
      <c r="Z9" s="455"/>
      <c r="AA9" s="456"/>
      <c r="AB9" s="454"/>
      <c r="AC9" s="455"/>
      <c r="AD9" s="455"/>
      <c r="AE9" s="455"/>
      <c r="AF9" s="455"/>
      <c r="AG9" s="456"/>
      <c r="AH9" s="445"/>
      <c r="AI9" s="446"/>
      <c r="AJ9" s="446"/>
      <c r="AK9" s="446"/>
      <c r="AL9" s="446"/>
      <c r="AM9" s="447"/>
      <c r="AN9" s="41"/>
      <c r="AO9" s="479"/>
      <c r="AP9" s="480"/>
      <c r="AQ9" s="480"/>
      <c r="AR9" s="480"/>
      <c r="AS9" s="480"/>
      <c r="AT9" s="48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row>
    <row r="10" spans="1:99" ht="15" customHeight="1" x14ac:dyDescent="0.25">
      <c r="A10" s="41"/>
      <c r="B10" s="474"/>
      <c r="C10" s="474"/>
      <c r="D10" s="475"/>
      <c r="E10" s="467"/>
      <c r="F10" s="468"/>
      <c r="G10" s="468"/>
      <c r="H10" s="468"/>
      <c r="I10" s="469"/>
      <c r="J10" s="454" t="str">
        <f>IF(AND('1. Mapa de Riesgos'!$J$26="Muy Alta",'1. Mapa de Riesgos'!$N$26="Leve"),CONCATENATE("R",'1. Mapa de Riesgos'!$B$26),"")</f>
        <v/>
      </c>
      <c r="K10" s="455"/>
      <c r="L10" s="455" t="str">
        <f>IF(AND('1. Mapa de Riesgos'!$J$20="Muy Alta",'1. Mapa de Riesgos'!$N$20="Leve"),CONCATENATE("R",'1. Mapa de Riesgos'!$B$20),"")</f>
        <v/>
      </c>
      <c r="M10" s="455"/>
      <c r="N10" s="455" t="str">
        <f>IF(AND('1. Mapa de Riesgos'!$J$62="Muy Alta",'1. Mapa de Riesgos'!$N$62="Leve"),CONCATENATE("R",'1. Mapa de Riesgos'!$B$62),"")</f>
        <v/>
      </c>
      <c r="O10" s="456"/>
      <c r="P10" s="454" t="str">
        <f>IF(AND('1. Mapa de Riesgos'!$J$26="Muy Alta",'1. Mapa de Riesgos'!$N$26="Menor"),CONCATENATE("R",'1. Mapa de Riesgos'!$B$26),"")</f>
        <v/>
      </c>
      <c r="Q10" s="455"/>
      <c r="R10" s="455" t="str">
        <f>IF(AND('1. Mapa de Riesgos'!$J$20="Muy Alta",'1. Mapa de Riesgos'!$N$20="Menor"),CONCATENATE("R",'1. Mapa de Riesgos'!$B$20),"")</f>
        <v/>
      </c>
      <c r="S10" s="455"/>
      <c r="T10" s="455" t="str">
        <f>IF(AND('1. Mapa de Riesgos'!$J$62="Muy Alta",'1. Mapa de Riesgos'!$N$62="Menor"),CONCATENATE("R",'1. Mapa de Riesgos'!$B$62),"")</f>
        <v/>
      </c>
      <c r="U10" s="456"/>
      <c r="V10" s="454" t="str">
        <f>IF(AND('1. Mapa de Riesgos'!$J$26="Muy Alta",'1. Mapa de Riesgos'!$N$26="Moderado"),CONCATENATE("R",'1. Mapa de Riesgos'!$B$26),"")</f>
        <v/>
      </c>
      <c r="W10" s="455"/>
      <c r="X10" s="455" t="str">
        <f>IF(AND('1. Mapa de Riesgos'!$J$20="Muy Alta",'1. Mapa de Riesgos'!$N$20="Moderado"),CONCATENATE("R",'1. Mapa de Riesgos'!$B$20),"")</f>
        <v/>
      </c>
      <c r="Y10" s="455"/>
      <c r="Z10" s="455" t="str">
        <f>IF(AND('1. Mapa de Riesgos'!$J$62="Muy Alta",'1. Mapa de Riesgos'!$N$62="Moderado"),CONCATENATE("R",'1. Mapa de Riesgos'!$B$62),"")</f>
        <v/>
      </c>
      <c r="AA10" s="456"/>
      <c r="AB10" s="454" t="str">
        <f>IF(AND('1. Mapa de Riesgos'!$J$26="Muy Alta",'1. Mapa de Riesgos'!$N$26="Mayor"),CONCATENATE("R",'1. Mapa de Riesgos'!$B$26),"")</f>
        <v/>
      </c>
      <c r="AC10" s="455"/>
      <c r="AD10" s="455" t="str">
        <f>IF(AND('1. Mapa de Riesgos'!$J$20="Muy Alta",'1. Mapa de Riesgos'!$N$20="Mayor"),CONCATENATE("R",'1. Mapa de Riesgos'!$B$20),"")</f>
        <v/>
      </c>
      <c r="AE10" s="455"/>
      <c r="AF10" s="455" t="str">
        <f>IF(AND('1. Mapa de Riesgos'!$J$62="Muy Alta",'1. Mapa de Riesgos'!$N$62="Mayor"),CONCATENATE("R",'1. Mapa de Riesgos'!$B$62),"")</f>
        <v/>
      </c>
      <c r="AG10" s="456"/>
      <c r="AH10" s="445" t="str">
        <f>IF(AND('1. Mapa de Riesgos'!$J$26="Muy Alta",'1. Mapa de Riesgos'!$N$26="Catastrófico"),CONCATENATE("R",'1. Mapa de Riesgos'!$B$26),"")</f>
        <v/>
      </c>
      <c r="AI10" s="446"/>
      <c r="AJ10" s="446" t="str">
        <f>IF(AND('1. Mapa de Riesgos'!$J$20="Muy Alta",'1. Mapa de Riesgos'!$N$20="Catastrófico"),CONCATENATE("R",'1. Mapa de Riesgos'!$B$20),"")</f>
        <v/>
      </c>
      <c r="AK10" s="446"/>
      <c r="AL10" s="446" t="str">
        <f>IF(AND('1. Mapa de Riesgos'!$J$62="Muy Alta",'1. Mapa de Riesgos'!$N$62="Catastrófico"),CONCATENATE("R",'1. Mapa de Riesgos'!$B$62),"")</f>
        <v/>
      </c>
      <c r="AM10" s="447"/>
      <c r="AN10" s="41"/>
      <c r="AO10" s="479"/>
      <c r="AP10" s="480"/>
      <c r="AQ10" s="480"/>
      <c r="AR10" s="480"/>
      <c r="AS10" s="480"/>
      <c r="AT10" s="48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row>
    <row r="11" spans="1:99" ht="15" customHeight="1" x14ac:dyDescent="0.25">
      <c r="A11" s="41"/>
      <c r="B11" s="474"/>
      <c r="C11" s="474"/>
      <c r="D11" s="475"/>
      <c r="E11" s="467"/>
      <c r="F11" s="468"/>
      <c r="G11" s="468"/>
      <c r="H11" s="468"/>
      <c r="I11" s="469"/>
      <c r="J11" s="454"/>
      <c r="K11" s="455"/>
      <c r="L11" s="455"/>
      <c r="M11" s="455"/>
      <c r="N11" s="455"/>
      <c r="O11" s="456"/>
      <c r="P11" s="454"/>
      <c r="Q11" s="455"/>
      <c r="R11" s="455"/>
      <c r="S11" s="455"/>
      <c r="T11" s="455"/>
      <c r="U11" s="456"/>
      <c r="V11" s="454"/>
      <c r="W11" s="455"/>
      <c r="X11" s="455"/>
      <c r="Y11" s="455"/>
      <c r="Z11" s="455"/>
      <c r="AA11" s="456"/>
      <c r="AB11" s="454"/>
      <c r="AC11" s="455"/>
      <c r="AD11" s="455"/>
      <c r="AE11" s="455"/>
      <c r="AF11" s="455"/>
      <c r="AG11" s="456"/>
      <c r="AH11" s="445"/>
      <c r="AI11" s="446"/>
      <c r="AJ11" s="446"/>
      <c r="AK11" s="446"/>
      <c r="AL11" s="446"/>
      <c r="AM11" s="447"/>
      <c r="AN11" s="41"/>
      <c r="AO11" s="479"/>
      <c r="AP11" s="480"/>
      <c r="AQ11" s="480"/>
      <c r="AR11" s="480"/>
      <c r="AS11" s="480"/>
      <c r="AT11" s="48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row>
    <row r="12" spans="1:99" ht="15" customHeight="1" x14ac:dyDescent="0.25">
      <c r="A12" s="41"/>
      <c r="B12" s="474"/>
      <c r="C12" s="474"/>
      <c r="D12" s="475"/>
      <c r="E12" s="467"/>
      <c r="F12" s="468"/>
      <c r="G12" s="468"/>
      <c r="H12" s="468"/>
      <c r="I12" s="469"/>
      <c r="J12" s="454" t="str">
        <f>IF(AND('1. Mapa de Riesgos'!$J$68="Muy Alta",'1. Mapa de Riesgos'!$N$68="Leve"),CONCATENATE("R",'1. Mapa de Riesgos'!$B$68),"")</f>
        <v/>
      </c>
      <c r="K12" s="455"/>
      <c r="L12" s="455" t="str">
        <f>IF(AND('1. Mapa de Riesgos'!$J$86="Muy Alta",'1. Mapa de Riesgos'!$N$86="Leve"),CONCATENATE("R",'1. Mapa de Riesgos'!#REF!),"")</f>
        <v/>
      </c>
      <c r="M12" s="455"/>
      <c r="N12" s="455" t="e">
        <f>IF(AND('1. Mapa de Riesgos'!#REF!="Muy Alta",'1. Mapa de Riesgos'!#REF!="Leve"),CONCATENATE("R",'1. Mapa de Riesgos'!#REF!),"")</f>
        <v>#REF!</v>
      </c>
      <c r="O12" s="456"/>
      <c r="P12" s="454" t="str">
        <f>IF(AND('1. Mapa de Riesgos'!$J$68="Muy Alta",'1. Mapa de Riesgos'!$N$68="Menor"),CONCATENATE("R",'1. Mapa de Riesgos'!$B$68),"")</f>
        <v/>
      </c>
      <c r="Q12" s="455"/>
      <c r="R12" s="455" t="str">
        <f>IF(AND('1. Mapa de Riesgos'!$J$86="Muy Alta",'1. Mapa de Riesgos'!$N$86="Menor"),CONCATENATE("R",'1. Mapa de Riesgos'!#REF!),"")</f>
        <v/>
      </c>
      <c r="S12" s="455"/>
      <c r="T12" s="455" t="e">
        <f>IF(AND('1. Mapa de Riesgos'!#REF!="Muy Alta",'1. Mapa de Riesgos'!#REF!="Menor"),CONCATENATE("R",'1. Mapa de Riesgos'!#REF!),"")</f>
        <v>#REF!</v>
      </c>
      <c r="U12" s="456"/>
      <c r="V12" s="454" t="str">
        <f>IF(AND('1. Mapa de Riesgos'!$J$68="Muy Alta",'1. Mapa de Riesgos'!$N$68="Moderado"),CONCATENATE("R",'1. Mapa de Riesgos'!$B$68),"")</f>
        <v/>
      </c>
      <c r="W12" s="455"/>
      <c r="X12" s="455" t="str">
        <f>IF(AND('1. Mapa de Riesgos'!$J$86="Muy Alta",'1. Mapa de Riesgos'!$N$86="Moderado"),CONCATENATE("R",'1. Mapa de Riesgos'!#REF!),"")</f>
        <v/>
      </c>
      <c r="Y12" s="455"/>
      <c r="Z12" s="455" t="e">
        <f>IF(AND('1. Mapa de Riesgos'!#REF!="Muy Alta",'1. Mapa de Riesgos'!#REF!="Moderado"),CONCATENATE("R",'1. Mapa de Riesgos'!#REF!),"")</f>
        <v>#REF!</v>
      </c>
      <c r="AA12" s="456"/>
      <c r="AB12" s="454" t="str">
        <f>IF(AND('1. Mapa de Riesgos'!$J$68="Muy Alta",'1. Mapa de Riesgos'!$N$68="Mayor"),CONCATENATE("R",'1. Mapa de Riesgos'!$B$68),"")</f>
        <v/>
      </c>
      <c r="AC12" s="455"/>
      <c r="AD12" s="455" t="str">
        <f>IF(AND('1. Mapa de Riesgos'!$J$86="Muy Alta",'1. Mapa de Riesgos'!$N$86="Mayor"),CONCATENATE("R",'1. Mapa de Riesgos'!#REF!),"")</f>
        <v/>
      </c>
      <c r="AE12" s="455"/>
      <c r="AF12" s="455" t="e">
        <f>IF(AND('1. Mapa de Riesgos'!#REF!="Muy Alta",'1. Mapa de Riesgos'!#REF!="Mayor"),CONCATENATE("R",'1. Mapa de Riesgos'!#REF!),"")</f>
        <v>#REF!</v>
      </c>
      <c r="AG12" s="456"/>
      <c r="AH12" s="445" t="str">
        <f>IF(AND('1. Mapa de Riesgos'!$J$68="Muy Alta",'1. Mapa de Riesgos'!$N$68="Catastrófico"),CONCATENATE("R",'1. Mapa de Riesgos'!$B$68),"")</f>
        <v/>
      </c>
      <c r="AI12" s="446"/>
      <c r="AJ12" s="446" t="str">
        <f>IF(AND('1. Mapa de Riesgos'!$J$86="Muy Alta",'1. Mapa de Riesgos'!$N$86="Catastrófico"),CONCATENATE("R",'1. Mapa de Riesgos'!#REF!),"")</f>
        <v/>
      </c>
      <c r="AK12" s="446"/>
      <c r="AL12" s="446" t="e">
        <f>IF(AND('1. Mapa de Riesgos'!#REF!="Muy Alta",'1. Mapa de Riesgos'!#REF!="Catastrófico"),CONCATENATE("R",'1. Mapa de Riesgos'!#REF!),"")</f>
        <v>#REF!</v>
      </c>
      <c r="AM12" s="447"/>
      <c r="AN12" s="41"/>
      <c r="AO12" s="479"/>
      <c r="AP12" s="480"/>
      <c r="AQ12" s="480"/>
      <c r="AR12" s="480"/>
      <c r="AS12" s="480"/>
      <c r="AT12" s="48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row>
    <row r="13" spans="1:99" ht="15.75" customHeight="1" thickBot="1" x14ac:dyDescent="0.3">
      <c r="A13" s="41"/>
      <c r="B13" s="474"/>
      <c r="C13" s="474"/>
      <c r="D13" s="475"/>
      <c r="E13" s="470"/>
      <c r="F13" s="471"/>
      <c r="G13" s="471"/>
      <c r="H13" s="471"/>
      <c r="I13" s="472"/>
      <c r="J13" s="454"/>
      <c r="K13" s="455"/>
      <c r="L13" s="455"/>
      <c r="M13" s="455"/>
      <c r="N13" s="455"/>
      <c r="O13" s="456"/>
      <c r="P13" s="454"/>
      <c r="Q13" s="455"/>
      <c r="R13" s="455"/>
      <c r="S13" s="455"/>
      <c r="T13" s="455"/>
      <c r="U13" s="456"/>
      <c r="V13" s="454"/>
      <c r="W13" s="455"/>
      <c r="X13" s="455"/>
      <c r="Y13" s="455"/>
      <c r="Z13" s="455"/>
      <c r="AA13" s="456"/>
      <c r="AB13" s="454"/>
      <c r="AC13" s="455"/>
      <c r="AD13" s="455"/>
      <c r="AE13" s="455"/>
      <c r="AF13" s="455"/>
      <c r="AG13" s="456"/>
      <c r="AH13" s="448"/>
      <c r="AI13" s="449"/>
      <c r="AJ13" s="449"/>
      <c r="AK13" s="449"/>
      <c r="AL13" s="449"/>
      <c r="AM13" s="450"/>
      <c r="AN13" s="41"/>
      <c r="AO13" s="482"/>
      <c r="AP13" s="483"/>
      <c r="AQ13" s="483"/>
      <c r="AR13" s="483"/>
      <c r="AS13" s="483"/>
      <c r="AT13" s="484"/>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row>
    <row r="14" spans="1:99" ht="15" customHeight="1" x14ac:dyDescent="0.25">
      <c r="A14" s="41"/>
      <c r="B14" s="474"/>
      <c r="C14" s="474"/>
      <c r="D14" s="475"/>
      <c r="E14" s="464" t="s">
        <v>113</v>
      </c>
      <c r="F14" s="465"/>
      <c r="G14" s="465"/>
      <c r="H14" s="465"/>
      <c r="I14" s="465"/>
      <c r="J14" s="442" t="str">
        <f>IF(AND('1. Mapa de Riesgos'!$J$14="Alta",'1. Mapa de Riesgos'!$N$14="Leve"),CONCATENATE("R",'1. Mapa de Riesgos'!$B$14),"")</f>
        <v/>
      </c>
      <c r="K14" s="443"/>
      <c r="L14" s="443" t="str">
        <f>IF(AND('1. Mapa de Riesgos'!$J$32="Alta",'1. Mapa de Riesgos'!$N$32="Leve"),CONCATENATE("R",'1. Mapa de Riesgos'!$B$32),"")</f>
        <v/>
      </c>
      <c r="M14" s="443"/>
      <c r="N14" s="443" t="str">
        <f>IF(AND('1. Mapa de Riesgos'!$J$38="Alta",'1. Mapa de Riesgos'!$N$38="Leve"),CONCATENATE("R",'1. Mapa de Riesgos'!$B$38),"")</f>
        <v/>
      </c>
      <c r="O14" s="444"/>
      <c r="P14" s="442" t="str">
        <f>IF(AND('1. Mapa de Riesgos'!$J$14="Alta",'1. Mapa de Riesgos'!$N$14="Menor"),CONCATENATE("R",'1. Mapa de Riesgos'!$B$14),"")</f>
        <v/>
      </c>
      <c r="Q14" s="443"/>
      <c r="R14" s="443" t="str">
        <f>IF(AND('1. Mapa de Riesgos'!$J$32="Alta",'1. Mapa de Riesgos'!$N$32="Menor"),CONCATENATE("R",'1. Mapa de Riesgos'!$B$32),"")</f>
        <v/>
      </c>
      <c r="S14" s="443"/>
      <c r="T14" s="443" t="str">
        <f>IF(AND('1. Mapa de Riesgos'!$J$38="Alta",'1. Mapa de Riesgos'!$N$38="Menor"),CONCATENATE("R",'1. Mapa de Riesgos'!$B$38),"")</f>
        <v/>
      </c>
      <c r="U14" s="444"/>
      <c r="V14" s="460" t="str">
        <f>IF(AND('1. Mapa de Riesgos'!$J$14="Alta",'1. Mapa de Riesgos'!$N$14="Moderado"),CONCATENATE("R",'1. Mapa de Riesgos'!$B$14),"")</f>
        <v/>
      </c>
      <c r="W14" s="461"/>
      <c r="X14" s="461" t="str">
        <f>IF(AND('1. Mapa de Riesgos'!$J$32="Alta",'1. Mapa de Riesgos'!$N$32="Moderado"),CONCATENATE("R",'1. Mapa de Riesgos'!$B$32),"")</f>
        <v/>
      </c>
      <c r="Y14" s="461"/>
      <c r="Z14" s="461" t="str">
        <f>IF(AND('1. Mapa de Riesgos'!$J$38="Alta",'1. Mapa de Riesgos'!$N$38="Moderado"),CONCATENATE("R",'1. Mapa de Riesgos'!$B$38),"")</f>
        <v/>
      </c>
      <c r="AA14" s="462"/>
      <c r="AB14" s="460" t="str">
        <f>IF(AND('1. Mapa de Riesgos'!$J$14="Alta",'1. Mapa de Riesgos'!$N$14="Mayor"),CONCATENATE("R",'1. Mapa de Riesgos'!$B$14),"")</f>
        <v/>
      </c>
      <c r="AC14" s="461"/>
      <c r="AD14" s="461" t="str">
        <f>IF(AND('1. Mapa de Riesgos'!$J$32="Alta",'1. Mapa de Riesgos'!$N$32="Mayor"),CONCATENATE("R",'1. Mapa de Riesgos'!$B$32),"")</f>
        <v/>
      </c>
      <c r="AE14" s="461"/>
      <c r="AF14" s="461" t="str">
        <f>IF(AND('1. Mapa de Riesgos'!$J$38="Alta",'1. Mapa de Riesgos'!$N$38="Mayor"),CONCATENATE("R",'1. Mapa de Riesgos'!$B$38),"")</f>
        <v/>
      </c>
      <c r="AG14" s="462"/>
      <c r="AH14" s="451" t="str">
        <f>IF(AND('1. Mapa de Riesgos'!$J$14="Alta",'1. Mapa de Riesgos'!$N$14="Catastrófico"),CONCATENATE("R",'1. Mapa de Riesgos'!$B$14),"")</f>
        <v/>
      </c>
      <c r="AI14" s="452"/>
      <c r="AJ14" s="452" t="str">
        <f>IF(AND('1. Mapa de Riesgos'!$J$32="Alta",'1. Mapa de Riesgos'!$N$32="Catastrófico"),CONCATENATE("R",'1. Mapa de Riesgos'!$B$32),"")</f>
        <v/>
      </c>
      <c r="AK14" s="452"/>
      <c r="AL14" s="452" t="str">
        <f>IF(AND('1. Mapa de Riesgos'!$J$38="Alta",'1. Mapa de Riesgos'!$N$38="Catastrófico"),CONCATENATE("R",'1. Mapa de Riesgos'!$B$38),"")</f>
        <v/>
      </c>
      <c r="AM14" s="453"/>
      <c r="AN14" s="41"/>
      <c r="AO14" s="485" t="s">
        <v>114</v>
      </c>
      <c r="AP14" s="486"/>
      <c r="AQ14" s="486"/>
      <c r="AR14" s="486"/>
      <c r="AS14" s="486"/>
      <c r="AT14" s="487"/>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row>
    <row r="15" spans="1:99" ht="15" customHeight="1" x14ac:dyDescent="0.25">
      <c r="A15" s="41"/>
      <c r="B15" s="474"/>
      <c r="C15" s="474"/>
      <c r="D15" s="475"/>
      <c r="E15" s="467"/>
      <c r="F15" s="468"/>
      <c r="G15" s="468"/>
      <c r="H15" s="468"/>
      <c r="I15" s="468"/>
      <c r="J15" s="436"/>
      <c r="K15" s="437"/>
      <c r="L15" s="437"/>
      <c r="M15" s="437"/>
      <c r="N15" s="437"/>
      <c r="O15" s="438"/>
      <c r="P15" s="436"/>
      <c r="Q15" s="437"/>
      <c r="R15" s="437"/>
      <c r="S15" s="437"/>
      <c r="T15" s="437"/>
      <c r="U15" s="438"/>
      <c r="V15" s="454"/>
      <c r="W15" s="455"/>
      <c r="X15" s="455"/>
      <c r="Y15" s="455"/>
      <c r="Z15" s="455"/>
      <c r="AA15" s="456"/>
      <c r="AB15" s="454"/>
      <c r="AC15" s="455"/>
      <c r="AD15" s="455"/>
      <c r="AE15" s="455"/>
      <c r="AF15" s="455"/>
      <c r="AG15" s="456"/>
      <c r="AH15" s="445"/>
      <c r="AI15" s="446"/>
      <c r="AJ15" s="446"/>
      <c r="AK15" s="446"/>
      <c r="AL15" s="446"/>
      <c r="AM15" s="447"/>
      <c r="AN15" s="41"/>
      <c r="AO15" s="488"/>
      <c r="AP15" s="489"/>
      <c r="AQ15" s="489"/>
      <c r="AR15" s="489"/>
      <c r="AS15" s="489"/>
      <c r="AT15" s="490"/>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row>
    <row r="16" spans="1:99" ht="15" customHeight="1" x14ac:dyDescent="0.25">
      <c r="A16" s="41"/>
      <c r="B16" s="474"/>
      <c r="C16" s="474"/>
      <c r="D16" s="475"/>
      <c r="E16" s="467"/>
      <c r="F16" s="468"/>
      <c r="G16" s="468"/>
      <c r="H16" s="468"/>
      <c r="I16" s="468"/>
      <c r="J16" s="436" t="str">
        <f>IF(AND('1. Mapa de Riesgos'!$J$50="Alta",'1. Mapa de Riesgos'!$N$50="Leve"),CONCATENATE("R",'1. Mapa de Riesgos'!$B$50),"")</f>
        <v/>
      </c>
      <c r="K16" s="437"/>
      <c r="L16" s="437" t="e">
        <f>IF(AND('1. Mapa de Riesgos'!#REF!="Alta",'1. Mapa de Riesgos'!#REF!="Leve"),CONCATENATE("R",'1. Mapa de Riesgos'!#REF!),"")</f>
        <v>#REF!</v>
      </c>
      <c r="M16" s="437"/>
      <c r="N16" s="437" t="str">
        <f>IF(AND('1. Mapa de Riesgos'!$J$56="Alta",'1. Mapa de Riesgos'!$N$56="Leve"),CONCATENATE("R",'1. Mapa de Riesgos'!$B$56),"")</f>
        <v/>
      </c>
      <c r="O16" s="438"/>
      <c r="P16" s="436" t="str">
        <f>IF(AND('1. Mapa de Riesgos'!$J$50="Alta",'1. Mapa de Riesgos'!$N$50="Menor"),CONCATENATE("R",'1. Mapa de Riesgos'!$B$50),"")</f>
        <v/>
      </c>
      <c r="Q16" s="437"/>
      <c r="R16" s="437" t="e">
        <f>IF(AND('1. Mapa de Riesgos'!#REF!="Alta",'1. Mapa de Riesgos'!#REF!="Menor"),CONCATENATE("R",'1. Mapa de Riesgos'!#REF!),"")</f>
        <v>#REF!</v>
      </c>
      <c r="S16" s="437"/>
      <c r="T16" s="437" t="str">
        <f>IF(AND('1. Mapa de Riesgos'!$J$56="Alta",'1. Mapa de Riesgos'!$N$56="Menor"),CONCATENATE("R",'1. Mapa de Riesgos'!$B$56),"")</f>
        <v/>
      </c>
      <c r="U16" s="438"/>
      <c r="V16" s="454" t="str">
        <f>IF(AND('1. Mapa de Riesgos'!$J$50="Alta",'1. Mapa de Riesgos'!$N$50="Moderado"),CONCATENATE("R",'1. Mapa de Riesgos'!$B$50),"")</f>
        <v/>
      </c>
      <c r="W16" s="455"/>
      <c r="X16" s="455" t="e">
        <f>IF(AND('1. Mapa de Riesgos'!#REF!="Alta",'1. Mapa de Riesgos'!#REF!="Moderado"),CONCATENATE("R",'1. Mapa de Riesgos'!#REF!),"")</f>
        <v>#REF!</v>
      </c>
      <c r="Y16" s="455"/>
      <c r="Z16" s="455" t="str">
        <f>IF(AND('1. Mapa de Riesgos'!$J$56="Alta",'1. Mapa de Riesgos'!$N$56="Moderado"),CONCATENATE("R",'1. Mapa de Riesgos'!$B$56),"")</f>
        <v/>
      </c>
      <c r="AA16" s="456"/>
      <c r="AB16" s="454" t="str">
        <f>IF(AND('1. Mapa de Riesgos'!$J$50="Alta",'1. Mapa de Riesgos'!$N$50="Mayor"),CONCATENATE("R",'1. Mapa de Riesgos'!$B$50),"")</f>
        <v/>
      </c>
      <c r="AC16" s="455"/>
      <c r="AD16" s="455" t="e">
        <f>IF(AND('1. Mapa de Riesgos'!#REF!="Alta",'1. Mapa de Riesgos'!#REF!="Mayor"),CONCATENATE("R",'1. Mapa de Riesgos'!#REF!),"")</f>
        <v>#REF!</v>
      </c>
      <c r="AE16" s="455"/>
      <c r="AF16" s="455" t="str">
        <f>IF(AND('1. Mapa de Riesgos'!$J$56="Alta",'1. Mapa de Riesgos'!$N$56="Mayor"),CONCATENATE("R",'1. Mapa de Riesgos'!$B$56),"")</f>
        <v/>
      </c>
      <c r="AG16" s="456"/>
      <c r="AH16" s="445" t="str">
        <f>IF(AND('1. Mapa de Riesgos'!$J$50="Alta",'1. Mapa de Riesgos'!$N$50="Catastrófico"),CONCATENATE("R",'1. Mapa de Riesgos'!$B$50),"")</f>
        <v/>
      </c>
      <c r="AI16" s="446"/>
      <c r="AJ16" s="446" t="e">
        <f>IF(AND('1. Mapa de Riesgos'!#REF!="Alta",'1. Mapa de Riesgos'!#REF!="Catastrófico"),CONCATENATE("R",'1. Mapa de Riesgos'!#REF!),"")</f>
        <v>#REF!</v>
      </c>
      <c r="AK16" s="446"/>
      <c r="AL16" s="446" t="str">
        <f>IF(AND('1. Mapa de Riesgos'!$J$56="Alta",'1. Mapa de Riesgos'!$N$56="Catastrófico"),CONCATENATE("R",'1. Mapa de Riesgos'!$B$56),"")</f>
        <v/>
      </c>
      <c r="AM16" s="447"/>
      <c r="AN16" s="41"/>
      <c r="AO16" s="488"/>
      <c r="AP16" s="489"/>
      <c r="AQ16" s="489"/>
      <c r="AR16" s="489"/>
      <c r="AS16" s="489"/>
      <c r="AT16" s="490"/>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row>
    <row r="17" spans="1:80" ht="15" customHeight="1" x14ac:dyDescent="0.25">
      <c r="A17" s="41"/>
      <c r="B17" s="474"/>
      <c r="C17" s="474"/>
      <c r="D17" s="475"/>
      <c r="E17" s="467"/>
      <c r="F17" s="468"/>
      <c r="G17" s="468"/>
      <c r="H17" s="468"/>
      <c r="I17" s="468"/>
      <c r="J17" s="436"/>
      <c r="K17" s="437"/>
      <c r="L17" s="437"/>
      <c r="M17" s="437"/>
      <c r="N17" s="437"/>
      <c r="O17" s="438"/>
      <c r="P17" s="436"/>
      <c r="Q17" s="437"/>
      <c r="R17" s="437"/>
      <c r="S17" s="437"/>
      <c r="T17" s="437"/>
      <c r="U17" s="438"/>
      <c r="V17" s="454"/>
      <c r="W17" s="455"/>
      <c r="X17" s="455"/>
      <c r="Y17" s="455"/>
      <c r="Z17" s="455"/>
      <c r="AA17" s="456"/>
      <c r="AB17" s="454"/>
      <c r="AC17" s="455"/>
      <c r="AD17" s="455"/>
      <c r="AE17" s="455"/>
      <c r="AF17" s="455"/>
      <c r="AG17" s="456"/>
      <c r="AH17" s="445"/>
      <c r="AI17" s="446"/>
      <c r="AJ17" s="446"/>
      <c r="AK17" s="446"/>
      <c r="AL17" s="446"/>
      <c r="AM17" s="447"/>
      <c r="AN17" s="41"/>
      <c r="AO17" s="488"/>
      <c r="AP17" s="489"/>
      <c r="AQ17" s="489"/>
      <c r="AR17" s="489"/>
      <c r="AS17" s="489"/>
      <c r="AT17" s="490"/>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row>
    <row r="18" spans="1:80" ht="15" customHeight="1" x14ac:dyDescent="0.25">
      <c r="A18" s="41"/>
      <c r="B18" s="474"/>
      <c r="C18" s="474"/>
      <c r="D18" s="475"/>
      <c r="E18" s="467"/>
      <c r="F18" s="468"/>
      <c r="G18" s="468"/>
      <c r="H18" s="468"/>
      <c r="I18" s="468"/>
      <c r="J18" s="436" t="str">
        <f>IF(AND('1. Mapa de Riesgos'!$J$26="Alta",'1. Mapa de Riesgos'!$N$26="Leve"),CONCATENATE("R",'1. Mapa de Riesgos'!$B$26),"")</f>
        <v/>
      </c>
      <c r="K18" s="437"/>
      <c r="L18" s="437" t="str">
        <f>IF(AND('1. Mapa de Riesgos'!$J$20="Alta",'1. Mapa de Riesgos'!$N$20="Leve"),CONCATENATE("R",'1. Mapa de Riesgos'!$B$20),"")</f>
        <v/>
      </c>
      <c r="M18" s="437"/>
      <c r="N18" s="437" t="str">
        <f>IF(AND('1. Mapa de Riesgos'!$J$62="Alta",'1. Mapa de Riesgos'!$N$62="Leve"),CONCATENATE("R",'1. Mapa de Riesgos'!$B$62),"")</f>
        <v/>
      </c>
      <c r="O18" s="438"/>
      <c r="P18" s="436" t="str">
        <f>IF(AND('1. Mapa de Riesgos'!$J$26="Alta",'1. Mapa de Riesgos'!$N$26="Menor"),CONCATENATE("R",'1. Mapa de Riesgos'!$B$26),"")</f>
        <v/>
      </c>
      <c r="Q18" s="437"/>
      <c r="R18" s="437" t="str">
        <f>IF(AND('1. Mapa de Riesgos'!$J$20="Alta",'1. Mapa de Riesgos'!$N$20="Menor"),CONCATENATE("R",'1. Mapa de Riesgos'!$B$20),"")</f>
        <v/>
      </c>
      <c r="S18" s="437"/>
      <c r="T18" s="437" t="str">
        <f>IF(AND('1. Mapa de Riesgos'!$J$62="Alta",'1. Mapa de Riesgos'!$N$62="Menor"),CONCATENATE("R",'1. Mapa de Riesgos'!$B$62),"")</f>
        <v/>
      </c>
      <c r="U18" s="438"/>
      <c r="V18" s="454" t="str">
        <f>IF(AND('1. Mapa de Riesgos'!$J$26="Alta",'1. Mapa de Riesgos'!$N$26="Moderado"),CONCATENATE("R",'1. Mapa de Riesgos'!$B$26),"")</f>
        <v/>
      </c>
      <c r="W18" s="455"/>
      <c r="X18" s="455" t="str">
        <f>IF(AND('1. Mapa de Riesgos'!$J$20="Alta",'1. Mapa de Riesgos'!$N$20="Moderado"),CONCATENATE("R",'1. Mapa de Riesgos'!$B$20),"")</f>
        <v/>
      </c>
      <c r="Y18" s="455"/>
      <c r="Z18" s="455" t="str">
        <f>IF(AND('1. Mapa de Riesgos'!$J$62="Alta",'1. Mapa de Riesgos'!$N$62="Moderado"),CONCATENATE("R",'1. Mapa de Riesgos'!$B$62),"")</f>
        <v/>
      </c>
      <c r="AA18" s="456"/>
      <c r="AB18" s="454" t="str">
        <f>IF(AND('1. Mapa de Riesgos'!$J$26="Alta",'1. Mapa de Riesgos'!$N$26="Mayor"),CONCATENATE("R",'1. Mapa de Riesgos'!$B$26),"")</f>
        <v/>
      </c>
      <c r="AC18" s="455"/>
      <c r="AD18" s="455" t="str">
        <f>IF(AND('1. Mapa de Riesgos'!$J$20="Alta",'1. Mapa de Riesgos'!$N$20="Mayor"),CONCATENATE("R",'1. Mapa de Riesgos'!$B$20),"")</f>
        <v/>
      </c>
      <c r="AE18" s="455"/>
      <c r="AF18" s="455" t="str">
        <f>IF(AND('1. Mapa de Riesgos'!$J$62="Alta",'1. Mapa de Riesgos'!$N$62="Mayor"),CONCATENATE("R",'1. Mapa de Riesgos'!$B$62),"")</f>
        <v/>
      </c>
      <c r="AG18" s="456"/>
      <c r="AH18" s="445" t="str">
        <f>IF(AND('1. Mapa de Riesgos'!$J$26="Alta",'1. Mapa de Riesgos'!$N$26="Catastrófico"),CONCATENATE("R",'1. Mapa de Riesgos'!$B$26),"")</f>
        <v/>
      </c>
      <c r="AI18" s="446"/>
      <c r="AJ18" s="446" t="str">
        <f>IF(AND('1. Mapa de Riesgos'!$J$20="Alta",'1. Mapa de Riesgos'!$N$20="Catastrófico"),CONCATENATE("R",'1. Mapa de Riesgos'!$B$20),"")</f>
        <v/>
      </c>
      <c r="AK18" s="446"/>
      <c r="AL18" s="446" t="str">
        <f>IF(AND('1. Mapa de Riesgos'!$J$62="Alta",'1. Mapa de Riesgos'!$N$62="Catastrófico"),CONCATENATE("R",'1. Mapa de Riesgos'!$B$62),"")</f>
        <v/>
      </c>
      <c r="AM18" s="447"/>
      <c r="AN18" s="41"/>
      <c r="AO18" s="488"/>
      <c r="AP18" s="489"/>
      <c r="AQ18" s="489"/>
      <c r="AR18" s="489"/>
      <c r="AS18" s="489"/>
      <c r="AT18" s="490"/>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row>
    <row r="19" spans="1:80" ht="15" customHeight="1" x14ac:dyDescent="0.25">
      <c r="A19" s="41"/>
      <c r="B19" s="474"/>
      <c r="C19" s="474"/>
      <c r="D19" s="475"/>
      <c r="E19" s="467"/>
      <c r="F19" s="468"/>
      <c r="G19" s="468"/>
      <c r="H19" s="468"/>
      <c r="I19" s="468"/>
      <c r="J19" s="436"/>
      <c r="K19" s="437"/>
      <c r="L19" s="437"/>
      <c r="M19" s="437"/>
      <c r="N19" s="437"/>
      <c r="O19" s="438"/>
      <c r="P19" s="436"/>
      <c r="Q19" s="437"/>
      <c r="R19" s="437"/>
      <c r="S19" s="437"/>
      <c r="T19" s="437"/>
      <c r="U19" s="438"/>
      <c r="V19" s="454"/>
      <c r="W19" s="455"/>
      <c r="X19" s="455"/>
      <c r="Y19" s="455"/>
      <c r="Z19" s="455"/>
      <c r="AA19" s="456"/>
      <c r="AB19" s="454"/>
      <c r="AC19" s="455"/>
      <c r="AD19" s="455"/>
      <c r="AE19" s="455"/>
      <c r="AF19" s="455"/>
      <c r="AG19" s="456"/>
      <c r="AH19" s="445"/>
      <c r="AI19" s="446"/>
      <c r="AJ19" s="446"/>
      <c r="AK19" s="446"/>
      <c r="AL19" s="446"/>
      <c r="AM19" s="447"/>
      <c r="AN19" s="41"/>
      <c r="AO19" s="488"/>
      <c r="AP19" s="489"/>
      <c r="AQ19" s="489"/>
      <c r="AR19" s="489"/>
      <c r="AS19" s="489"/>
      <c r="AT19" s="490"/>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row>
    <row r="20" spans="1:80" ht="15" customHeight="1" x14ac:dyDescent="0.25">
      <c r="A20" s="41"/>
      <c r="B20" s="474"/>
      <c r="C20" s="474"/>
      <c r="D20" s="475"/>
      <c r="E20" s="467"/>
      <c r="F20" s="468"/>
      <c r="G20" s="468"/>
      <c r="H20" s="468"/>
      <c r="I20" s="468"/>
      <c r="J20" s="436" t="str">
        <f>IF(AND('1. Mapa de Riesgos'!$J$68="Alta",'1. Mapa de Riesgos'!$N$68="Leve"),CONCATENATE("R",'1. Mapa de Riesgos'!$B$68),"")</f>
        <v/>
      </c>
      <c r="K20" s="437"/>
      <c r="L20" s="437" t="str">
        <f>IF(AND('1. Mapa de Riesgos'!$J$86="Alta",'1. Mapa de Riesgos'!$N$86="Leve"),CONCATENATE("R",'1. Mapa de Riesgos'!#REF!),"")</f>
        <v/>
      </c>
      <c r="M20" s="437"/>
      <c r="N20" s="437" t="e">
        <f>IF(AND('1. Mapa de Riesgos'!#REF!="Alta",'1. Mapa de Riesgos'!#REF!="Leve"),CONCATENATE("R",'1. Mapa de Riesgos'!#REF!),"")</f>
        <v>#REF!</v>
      </c>
      <c r="O20" s="438"/>
      <c r="P20" s="436" t="str">
        <f>IF(AND('1. Mapa de Riesgos'!$J$68="Alta",'1. Mapa de Riesgos'!$N$68="Menor"),CONCATENATE("R",'1. Mapa de Riesgos'!$B$68),"")</f>
        <v/>
      </c>
      <c r="Q20" s="437"/>
      <c r="R20" s="437" t="str">
        <f>IF(AND('1. Mapa de Riesgos'!$J$86="Alta",'1. Mapa de Riesgos'!$N$86="Menor"),CONCATENATE("R",'1. Mapa de Riesgos'!#REF!),"")</f>
        <v/>
      </c>
      <c r="S20" s="437"/>
      <c r="T20" s="437" t="e">
        <f>IF(AND('1. Mapa de Riesgos'!#REF!="Alta",'1. Mapa de Riesgos'!#REF!="Menor"),CONCATENATE("R",'1. Mapa de Riesgos'!#REF!),"")</f>
        <v>#REF!</v>
      </c>
      <c r="U20" s="438"/>
      <c r="V20" s="454" t="str">
        <f>IF(AND('1. Mapa de Riesgos'!$J$68="Alta",'1. Mapa de Riesgos'!$N$68="Moderado"),CONCATENATE("R",'1. Mapa de Riesgos'!$B$68),"")</f>
        <v/>
      </c>
      <c r="W20" s="455"/>
      <c r="X20" s="455" t="str">
        <f>IF(AND('1. Mapa de Riesgos'!$J$86="Alta",'1. Mapa de Riesgos'!$N$86="Moderado"),CONCATENATE("R",'1. Mapa de Riesgos'!#REF!),"")</f>
        <v/>
      </c>
      <c r="Y20" s="455"/>
      <c r="Z20" s="455" t="e">
        <f>IF(AND('1. Mapa de Riesgos'!#REF!="Alta",'1. Mapa de Riesgos'!#REF!="Moderado"),CONCATENATE("R",'1. Mapa de Riesgos'!#REF!),"")</f>
        <v>#REF!</v>
      </c>
      <c r="AA20" s="456"/>
      <c r="AB20" s="454" t="str">
        <f>IF(AND('1. Mapa de Riesgos'!$J$68="Alta",'1. Mapa de Riesgos'!$N$68="Mayor"),CONCATENATE("R",'1. Mapa de Riesgos'!$B$68),"")</f>
        <v/>
      </c>
      <c r="AC20" s="455"/>
      <c r="AD20" s="455" t="str">
        <f>IF(AND('1. Mapa de Riesgos'!$J$86="Alta",'1. Mapa de Riesgos'!$N$86="Mayor"),CONCATENATE("R",'1. Mapa de Riesgos'!#REF!),"")</f>
        <v/>
      </c>
      <c r="AE20" s="455"/>
      <c r="AF20" s="455" t="e">
        <f>IF(AND('1. Mapa de Riesgos'!#REF!="Alta",'1. Mapa de Riesgos'!#REF!="Mayor"),CONCATENATE("R",'1. Mapa de Riesgos'!#REF!),"")</f>
        <v>#REF!</v>
      </c>
      <c r="AG20" s="456"/>
      <c r="AH20" s="445" t="str">
        <f>IF(AND('1. Mapa de Riesgos'!$J$68="Alta",'1. Mapa de Riesgos'!$N$68="Catastrófico"),CONCATENATE("R",'1. Mapa de Riesgos'!$B$68),"")</f>
        <v/>
      </c>
      <c r="AI20" s="446"/>
      <c r="AJ20" s="446" t="str">
        <f>IF(AND('1. Mapa de Riesgos'!$J$86="Alta",'1. Mapa de Riesgos'!$N$86="Catastrófico"),CONCATENATE("R",'1. Mapa de Riesgos'!#REF!),"")</f>
        <v/>
      </c>
      <c r="AK20" s="446"/>
      <c r="AL20" s="446" t="e">
        <f>IF(AND('1. Mapa de Riesgos'!#REF!="Alta",'1. Mapa de Riesgos'!#REF!="Catastrófico"),CONCATENATE("R",'1. Mapa de Riesgos'!#REF!),"")</f>
        <v>#REF!</v>
      </c>
      <c r="AM20" s="447"/>
      <c r="AN20" s="41"/>
      <c r="AO20" s="488"/>
      <c r="AP20" s="489"/>
      <c r="AQ20" s="489"/>
      <c r="AR20" s="489"/>
      <c r="AS20" s="489"/>
      <c r="AT20" s="490"/>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row>
    <row r="21" spans="1:80" ht="15.75" customHeight="1" thickBot="1" x14ac:dyDescent="0.3">
      <c r="A21" s="41"/>
      <c r="B21" s="474"/>
      <c r="C21" s="474"/>
      <c r="D21" s="475"/>
      <c r="E21" s="470"/>
      <c r="F21" s="471"/>
      <c r="G21" s="471"/>
      <c r="H21" s="471"/>
      <c r="I21" s="471"/>
      <c r="J21" s="439"/>
      <c r="K21" s="440"/>
      <c r="L21" s="440"/>
      <c r="M21" s="440"/>
      <c r="N21" s="440"/>
      <c r="O21" s="441"/>
      <c r="P21" s="439"/>
      <c r="Q21" s="440"/>
      <c r="R21" s="440"/>
      <c r="S21" s="440"/>
      <c r="T21" s="440"/>
      <c r="U21" s="441"/>
      <c r="V21" s="457"/>
      <c r="W21" s="458"/>
      <c r="X21" s="458"/>
      <c r="Y21" s="458"/>
      <c r="Z21" s="458"/>
      <c r="AA21" s="459"/>
      <c r="AB21" s="457"/>
      <c r="AC21" s="458"/>
      <c r="AD21" s="458"/>
      <c r="AE21" s="458"/>
      <c r="AF21" s="458"/>
      <c r="AG21" s="459"/>
      <c r="AH21" s="448"/>
      <c r="AI21" s="449"/>
      <c r="AJ21" s="449"/>
      <c r="AK21" s="449"/>
      <c r="AL21" s="449"/>
      <c r="AM21" s="450"/>
      <c r="AN21" s="41"/>
      <c r="AO21" s="491"/>
      <c r="AP21" s="492"/>
      <c r="AQ21" s="492"/>
      <c r="AR21" s="492"/>
      <c r="AS21" s="492"/>
      <c r="AT21" s="493"/>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row>
    <row r="22" spans="1:80" x14ac:dyDescent="0.25">
      <c r="A22" s="41"/>
      <c r="B22" s="474"/>
      <c r="C22" s="474"/>
      <c r="D22" s="475"/>
      <c r="E22" s="464" t="s">
        <v>115</v>
      </c>
      <c r="F22" s="465"/>
      <c r="G22" s="465"/>
      <c r="H22" s="465"/>
      <c r="I22" s="466"/>
      <c r="J22" s="442" t="str">
        <f>IF(AND('1. Mapa de Riesgos'!$J$14="Media",'1. Mapa de Riesgos'!$N$14="Leve"),CONCATENATE("R",'1. Mapa de Riesgos'!$B$14),"")</f>
        <v/>
      </c>
      <c r="K22" s="443"/>
      <c r="L22" s="443" t="str">
        <f>IF(AND('1. Mapa de Riesgos'!$J$32="Media",'1. Mapa de Riesgos'!$N$32="Leve"),CONCATENATE("R",'1. Mapa de Riesgos'!$B$32),"")</f>
        <v/>
      </c>
      <c r="M22" s="443"/>
      <c r="N22" s="443" t="str">
        <f>IF(AND('1. Mapa de Riesgos'!$J$38="Media",'1. Mapa de Riesgos'!$N$38="Leve"),CONCATENATE("R",'1. Mapa de Riesgos'!$B$38),"")</f>
        <v/>
      </c>
      <c r="O22" s="444"/>
      <c r="P22" s="442" t="str">
        <f>IF(AND('1. Mapa de Riesgos'!$J$14="Media",'1. Mapa de Riesgos'!$N$14="Menor"),CONCATENATE("R",'1. Mapa de Riesgos'!$B$14),"")</f>
        <v/>
      </c>
      <c r="Q22" s="443"/>
      <c r="R22" s="443" t="str">
        <f>IF(AND('1. Mapa de Riesgos'!$J$32="Media",'1. Mapa de Riesgos'!$N$32="Menor"),CONCATENATE("R",'1. Mapa de Riesgos'!$B$32),"")</f>
        <v/>
      </c>
      <c r="S22" s="443"/>
      <c r="T22" s="443" t="str">
        <f>IF(AND('1. Mapa de Riesgos'!$J$38="Media",'1. Mapa de Riesgos'!$N$38="Menor"),CONCATENATE("R",'1. Mapa de Riesgos'!$B$38),"")</f>
        <v/>
      </c>
      <c r="U22" s="444"/>
      <c r="V22" s="442" t="str">
        <f>IF(AND('1. Mapa de Riesgos'!$J$14="Media",'1. Mapa de Riesgos'!$N$14="Moderado"),CONCATENATE("R",'1. Mapa de Riesgos'!$B$14),"")</f>
        <v/>
      </c>
      <c r="W22" s="443"/>
      <c r="X22" s="443" t="str">
        <f>IF(AND('1. Mapa de Riesgos'!$J$32="Media",'1. Mapa de Riesgos'!$N$32="Moderado"),CONCATENATE("R",'1. Mapa de Riesgos'!$B$32),"")</f>
        <v/>
      </c>
      <c r="Y22" s="443"/>
      <c r="Z22" s="443" t="str">
        <f>IF(AND('1. Mapa de Riesgos'!$J$38="Media",'1. Mapa de Riesgos'!$N$38="Moderado"),CONCATENATE("R",'1. Mapa de Riesgos'!$B$38),"")</f>
        <v/>
      </c>
      <c r="AA22" s="444"/>
      <c r="AB22" s="460" t="str">
        <f>IF(AND('1. Mapa de Riesgos'!$J$14="Media",'1. Mapa de Riesgos'!$N$14="Mayor"),CONCATENATE("R",'1. Mapa de Riesgos'!$B$14),"")</f>
        <v/>
      </c>
      <c r="AC22" s="461"/>
      <c r="AD22" s="461" t="str">
        <f>IF(AND('1. Mapa de Riesgos'!$J$32="Media",'1. Mapa de Riesgos'!$N$32="Mayor"),CONCATENATE("R",'1. Mapa de Riesgos'!$B$32),"")</f>
        <v/>
      </c>
      <c r="AE22" s="461"/>
      <c r="AF22" s="461" t="str">
        <f>IF(AND('1. Mapa de Riesgos'!$J$38="Media",'1. Mapa de Riesgos'!$N$38="Mayor"),CONCATENATE("R",'1. Mapa de Riesgos'!$B$38),"")</f>
        <v/>
      </c>
      <c r="AG22" s="462"/>
      <c r="AH22" s="451" t="str">
        <f>IF(AND('1. Mapa de Riesgos'!$J$14="Media",'1. Mapa de Riesgos'!$N$14="Catastrófico"),CONCATENATE("R",'1. Mapa de Riesgos'!$B$14),"")</f>
        <v/>
      </c>
      <c r="AI22" s="452"/>
      <c r="AJ22" s="452" t="str">
        <f>IF(AND('1. Mapa de Riesgos'!$J$32="Media",'1. Mapa de Riesgos'!$N$32="Catastrófico"),CONCATENATE("R",'1. Mapa de Riesgos'!$B$32),"")</f>
        <v/>
      </c>
      <c r="AK22" s="452"/>
      <c r="AL22" s="452" t="str">
        <f>IF(AND('1. Mapa de Riesgos'!$J$38="Media",'1. Mapa de Riesgos'!$N$38="Catastrófico"),CONCATENATE("R",'1. Mapa de Riesgos'!$B$38),"")</f>
        <v/>
      </c>
      <c r="AM22" s="453"/>
      <c r="AN22" s="41"/>
      <c r="AO22" s="494" t="s">
        <v>116</v>
      </c>
      <c r="AP22" s="495"/>
      <c r="AQ22" s="495"/>
      <c r="AR22" s="495"/>
      <c r="AS22" s="495"/>
      <c r="AT22" s="496"/>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c r="BY22" s="41"/>
      <c r="BZ22" s="41"/>
      <c r="CA22" s="41"/>
      <c r="CB22" s="41"/>
    </row>
    <row r="23" spans="1:80" x14ac:dyDescent="0.25">
      <c r="A23" s="41"/>
      <c r="B23" s="474"/>
      <c r="C23" s="474"/>
      <c r="D23" s="475"/>
      <c r="E23" s="467"/>
      <c r="F23" s="468"/>
      <c r="G23" s="468"/>
      <c r="H23" s="468"/>
      <c r="I23" s="469"/>
      <c r="J23" s="436"/>
      <c r="K23" s="437"/>
      <c r="L23" s="437"/>
      <c r="M23" s="437"/>
      <c r="N23" s="437"/>
      <c r="O23" s="438"/>
      <c r="P23" s="436"/>
      <c r="Q23" s="437"/>
      <c r="R23" s="437"/>
      <c r="S23" s="437"/>
      <c r="T23" s="437"/>
      <c r="U23" s="438"/>
      <c r="V23" s="436"/>
      <c r="W23" s="437"/>
      <c r="X23" s="437"/>
      <c r="Y23" s="437"/>
      <c r="Z23" s="437"/>
      <c r="AA23" s="438"/>
      <c r="AB23" s="454"/>
      <c r="AC23" s="455"/>
      <c r="AD23" s="455"/>
      <c r="AE23" s="455"/>
      <c r="AF23" s="455"/>
      <c r="AG23" s="456"/>
      <c r="AH23" s="445"/>
      <c r="AI23" s="446"/>
      <c r="AJ23" s="446"/>
      <c r="AK23" s="446"/>
      <c r="AL23" s="446"/>
      <c r="AM23" s="447"/>
      <c r="AN23" s="41"/>
      <c r="AO23" s="497"/>
      <c r="AP23" s="498"/>
      <c r="AQ23" s="498"/>
      <c r="AR23" s="498"/>
      <c r="AS23" s="498"/>
      <c r="AT23" s="499"/>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row>
    <row r="24" spans="1:80" x14ac:dyDescent="0.25">
      <c r="A24" s="41"/>
      <c r="B24" s="474"/>
      <c r="C24" s="474"/>
      <c r="D24" s="475"/>
      <c r="E24" s="467"/>
      <c r="F24" s="468"/>
      <c r="G24" s="468"/>
      <c r="H24" s="468"/>
      <c r="I24" s="469"/>
      <c r="J24" s="436" t="str">
        <f>IF(AND('1. Mapa de Riesgos'!$J$50="Media",'1. Mapa de Riesgos'!$N$50="Leve"),CONCATENATE("R",'1. Mapa de Riesgos'!$B$50),"")</f>
        <v/>
      </c>
      <c r="K24" s="437"/>
      <c r="L24" s="437" t="e">
        <f>IF(AND('1. Mapa de Riesgos'!#REF!="Media",'1. Mapa de Riesgos'!#REF!="Leve"),CONCATENATE("R",'1. Mapa de Riesgos'!#REF!),"")</f>
        <v>#REF!</v>
      </c>
      <c r="M24" s="437"/>
      <c r="N24" s="437" t="str">
        <f>IF(AND('1. Mapa de Riesgos'!$J$56="Media",'1. Mapa de Riesgos'!$N$56="Leve"),CONCATENATE("R",'1. Mapa de Riesgos'!$B$56),"")</f>
        <v/>
      </c>
      <c r="O24" s="438"/>
      <c r="P24" s="436" t="str">
        <f>IF(AND('1. Mapa de Riesgos'!$J$50="Media",'1. Mapa de Riesgos'!$N$50="Menor"),CONCATENATE("R",'1. Mapa de Riesgos'!$B$50),"")</f>
        <v/>
      </c>
      <c r="Q24" s="437"/>
      <c r="R24" s="437" t="e">
        <f>IF(AND('1. Mapa de Riesgos'!#REF!="Media",'1. Mapa de Riesgos'!#REF!="Menor"),CONCATENATE("R",'1. Mapa de Riesgos'!#REF!),"")</f>
        <v>#REF!</v>
      </c>
      <c r="S24" s="437"/>
      <c r="T24" s="437" t="str">
        <f>IF(AND('1. Mapa de Riesgos'!$J$56="Media",'1. Mapa de Riesgos'!$N$56="Menor"),CONCATENATE("R",'1. Mapa de Riesgos'!$B$56),"")</f>
        <v/>
      </c>
      <c r="U24" s="438"/>
      <c r="V24" s="436" t="str">
        <f>IF(AND('1. Mapa de Riesgos'!$J$50="Media",'1. Mapa de Riesgos'!$N$50="Moderado"),CONCATENATE("R",'1. Mapa de Riesgos'!$B$50),"")</f>
        <v/>
      </c>
      <c r="W24" s="437"/>
      <c r="X24" s="437" t="e">
        <f>IF(AND('1. Mapa de Riesgos'!#REF!="Media",'1. Mapa de Riesgos'!#REF!="Moderado"),CONCATENATE("R",'1. Mapa de Riesgos'!#REF!),"")</f>
        <v>#REF!</v>
      </c>
      <c r="Y24" s="437"/>
      <c r="Z24" s="437" t="str">
        <f>IF(AND('1. Mapa de Riesgos'!$J$56="Media",'1. Mapa de Riesgos'!$N$56="Moderado"),CONCATENATE("R",'1. Mapa de Riesgos'!$B$56),"")</f>
        <v/>
      </c>
      <c r="AA24" s="438"/>
      <c r="AB24" s="454" t="str">
        <f>IF(AND('1. Mapa de Riesgos'!$J$50="Media",'1. Mapa de Riesgos'!$N$50="Mayor"),CONCATENATE("R",'1. Mapa de Riesgos'!$B$50),"")</f>
        <v/>
      </c>
      <c r="AC24" s="455"/>
      <c r="AD24" s="455" t="e">
        <f>IF(AND('1. Mapa de Riesgos'!#REF!="Media",'1. Mapa de Riesgos'!#REF!="Mayor"),CONCATENATE("R",'1. Mapa de Riesgos'!#REF!),"")</f>
        <v>#REF!</v>
      </c>
      <c r="AE24" s="455"/>
      <c r="AF24" s="455" t="str">
        <f>IF(AND('1. Mapa de Riesgos'!$J$56="Media",'1. Mapa de Riesgos'!$N$56="Mayor"),CONCATENATE("R",'1. Mapa de Riesgos'!$B$56),"")</f>
        <v/>
      </c>
      <c r="AG24" s="456"/>
      <c r="AH24" s="445" t="str">
        <f>IF(AND('1. Mapa de Riesgos'!$J$50="Media",'1. Mapa de Riesgos'!$N$50="Catastrófico"),CONCATENATE("R",'1. Mapa de Riesgos'!$B$50),"")</f>
        <v/>
      </c>
      <c r="AI24" s="446"/>
      <c r="AJ24" s="446" t="e">
        <f>IF(AND('1. Mapa de Riesgos'!#REF!="Media",'1. Mapa de Riesgos'!#REF!="Catastrófico"),CONCATENATE("R",'1. Mapa de Riesgos'!#REF!),"")</f>
        <v>#REF!</v>
      </c>
      <c r="AK24" s="446"/>
      <c r="AL24" s="446" t="str">
        <f>IF(AND('1. Mapa de Riesgos'!$J$56="Media",'1. Mapa de Riesgos'!$N$56="Catastrófico"),CONCATENATE("R",'1. Mapa de Riesgos'!$B$56),"")</f>
        <v/>
      </c>
      <c r="AM24" s="447"/>
      <c r="AN24" s="41"/>
      <c r="AO24" s="497"/>
      <c r="AP24" s="498"/>
      <c r="AQ24" s="498"/>
      <c r="AR24" s="498"/>
      <c r="AS24" s="498"/>
      <c r="AT24" s="499"/>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row>
    <row r="25" spans="1:80" x14ac:dyDescent="0.25">
      <c r="A25" s="41"/>
      <c r="B25" s="474"/>
      <c r="C25" s="474"/>
      <c r="D25" s="475"/>
      <c r="E25" s="467"/>
      <c r="F25" s="468"/>
      <c r="G25" s="468"/>
      <c r="H25" s="468"/>
      <c r="I25" s="469"/>
      <c r="J25" s="436"/>
      <c r="K25" s="437"/>
      <c r="L25" s="437"/>
      <c r="M25" s="437"/>
      <c r="N25" s="437"/>
      <c r="O25" s="438"/>
      <c r="P25" s="436"/>
      <c r="Q25" s="437"/>
      <c r="R25" s="437"/>
      <c r="S25" s="437"/>
      <c r="T25" s="437"/>
      <c r="U25" s="438"/>
      <c r="V25" s="436"/>
      <c r="W25" s="437"/>
      <c r="X25" s="437"/>
      <c r="Y25" s="437"/>
      <c r="Z25" s="437"/>
      <c r="AA25" s="438"/>
      <c r="AB25" s="454"/>
      <c r="AC25" s="455"/>
      <c r="AD25" s="455"/>
      <c r="AE25" s="455"/>
      <c r="AF25" s="455"/>
      <c r="AG25" s="456"/>
      <c r="AH25" s="445"/>
      <c r="AI25" s="446"/>
      <c r="AJ25" s="446"/>
      <c r="AK25" s="446"/>
      <c r="AL25" s="446"/>
      <c r="AM25" s="447"/>
      <c r="AN25" s="41"/>
      <c r="AO25" s="497"/>
      <c r="AP25" s="498"/>
      <c r="AQ25" s="498"/>
      <c r="AR25" s="498"/>
      <c r="AS25" s="498"/>
      <c r="AT25" s="499"/>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row>
    <row r="26" spans="1:80" x14ac:dyDescent="0.25">
      <c r="A26" s="41"/>
      <c r="B26" s="474"/>
      <c r="C26" s="474"/>
      <c r="D26" s="475"/>
      <c r="E26" s="467"/>
      <c r="F26" s="468"/>
      <c r="G26" s="468"/>
      <c r="H26" s="468"/>
      <c r="I26" s="469"/>
      <c r="J26" s="436" t="str">
        <f>IF(AND('1. Mapa de Riesgos'!$J$26="Media",'1. Mapa de Riesgos'!$N$26="Leve"),CONCATENATE("R",'1. Mapa de Riesgos'!$B$26),"")</f>
        <v/>
      </c>
      <c r="K26" s="437"/>
      <c r="L26" s="437" t="str">
        <f>IF(AND('1. Mapa de Riesgos'!$J$20="Media",'1. Mapa de Riesgos'!$N$20="Leve"),CONCATENATE("R",'1. Mapa de Riesgos'!$B$20),"")</f>
        <v/>
      </c>
      <c r="M26" s="437"/>
      <c r="N26" s="437" t="str">
        <f>IF(AND('1. Mapa de Riesgos'!$J$62="Media",'1. Mapa de Riesgos'!$N$62="Leve"),CONCATENATE("R",'1. Mapa de Riesgos'!$B$62),"")</f>
        <v/>
      </c>
      <c r="O26" s="438"/>
      <c r="P26" s="436" t="str">
        <f>IF(AND('1. Mapa de Riesgos'!$J$26="Media",'1. Mapa de Riesgos'!$N$26="Menor"),CONCATENATE("R",'1. Mapa de Riesgos'!$B$26),"")</f>
        <v/>
      </c>
      <c r="Q26" s="437"/>
      <c r="R26" s="437" t="str">
        <f>IF(AND('1. Mapa de Riesgos'!$J$20="Media",'1. Mapa de Riesgos'!$N$20="Menor"),CONCATENATE("R",'1. Mapa de Riesgos'!$B$20),"")</f>
        <v/>
      </c>
      <c r="S26" s="437"/>
      <c r="T26" s="437" t="str">
        <f>IF(AND('1. Mapa de Riesgos'!$J$62="Media",'1. Mapa de Riesgos'!$N$62="Menor"),CONCATENATE("R",'1. Mapa de Riesgos'!$B$62),"")</f>
        <v/>
      </c>
      <c r="U26" s="438"/>
      <c r="V26" s="436" t="str">
        <f>IF(AND('1. Mapa de Riesgos'!$J$26="Media",'1. Mapa de Riesgos'!$N$26="Moderado"),CONCATENATE("R",'1. Mapa de Riesgos'!$B$26),"")</f>
        <v/>
      </c>
      <c r="W26" s="437"/>
      <c r="X26" s="437" t="str">
        <f>IF(AND('1. Mapa de Riesgos'!$J$20="Media",'1. Mapa de Riesgos'!$N$20="Moderado"),CONCATENATE("R",'1. Mapa de Riesgos'!$B$20),"")</f>
        <v/>
      </c>
      <c r="Y26" s="437"/>
      <c r="Z26" s="437" t="str">
        <f>IF(AND('1. Mapa de Riesgos'!$J$62="Media",'1. Mapa de Riesgos'!$N$62="Moderado"),CONCATENATE("R",'1. Mapa de Riesgos'!$B$62),"")</f>
        <v/>
      </c>
      <c r="AA26" s="438"/>
      <c r="AB26" s="454" t="str">
        <f>IF(AND('1. Mapa de Riesgos'!$J$26="Media",'1. Mapa de Riesgos'!$N$26="Mayor"),CONCATENATE("R",'1. Mapa de Riesgos'!$B$26),"")</f>
        <v/>
      </c>
      <c r="AC26" s="455"/>
      <c r="AD26" s="455" t="str">
        <f>IF(AND('1. Mapa de Riesgos'!$J$20="Media",'1. Mapa de Riesgos'!$N$20="Mayor"),CONCATENATE("R",'1. Mapa de Riesgos'!$B$20),"")</f>
        <v/>
      </c>
      <c r="AE26" s="455"/>
      <c r="AF26" s="455" t="str">
        <f>IF(AND('1. Mapa de Riesgos'!$J$62="Media",'1. Mapa de Riesgos'!$N$62="Mayor"),CONCATENATE("R",'1. Mapa de Riesgos'!$B$62),"")</f>
        <v/>
      </c>
      <c r="AG26" s="456"/>
      <c r="AH26" s="445" t="str">
        <f>IF(AND('1. Mapa de Riesgos'!$J$26="Media",'1. Mapa de Riesgos'!$N$26="Catastrófico"),CONCATENATE("R",'1. Mapa de Riesgos'!$B$26),"")</f>
        <v/>
      </c>
      <c r="AI26" s="446"/>
      <c r="AJ26" s="446" t="str">
        <f>IF(AND('1. Mapa de Riesgos'!$J$20="Media",'1. Mapa de Riesgos'!$N$20="Catastrófico"),CONCATENATE("R",'1. Mapa de Riesgos'!$B$20),"")</f>
        <v/>
      </c>
      <c r="AK26" s="446"/>
      <c r="AL26" s="446" t="str">
        <f>IF(AND('1. Mapa de Riesgos'!$J$62="Media",'1. Mapa de Riesgos'!$N$62="Catastrófico"),CONCATENATE("R",'1. Mapa de Riesgos'!$B$62),"")</f>
        <v/>
      </c>
      <c r="AM26" s="447"/>
      <c r="AN26" s="41"/>
      <c r="AO26" s="497"/>
      <c r="AP26" s="498"/>
      <c r="AQ26" s="498"/>
      <c r="AR26" s="498"/>
      <c r="AS26" s="498"/>
      <c r="AT26" s="499"/>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row>
    <row r="27" spans="1:80" x14ac:dyDescent="0.25">
      <c r="A27" s="41"/>
      <c r="B27" s="474"/>
      <c r="C27" s="474"/>
      <c r="D27" s="475"/>
      <c r="E27" s="467"/>
      <c r="F27" s="468"/>
      <c r="G27" s="468"/>
      <c r="H27" s="468"/>
      <c r="I27" s="469"/>
      <c r="J27" s="436"/>
      <c r="K27" s="437"/>
      <c r="L27" s="437"/>
      <c r="M27" s="437"/>
      <c r="N27" s="437"/>
      <c r="O27" s="438"/>
      <c r="P27" s="436"/>
      <c r="Q27" s="437"/>
      <c r="R27" s="437"/>
      <c r="S27" s="437"/>
      <c r="T27" s="437"/>
      <c r="U27" s="438"/>
      <c r="V27" s="436"/>
      <c r="W27" s="437"/>
      <c r="X27" s="437"/>
      <c r="Y27" s="437"/>
      <c r="Z27" s="437"/>
      <c r="AA27" s="438"/>
      <c r="AB27" s="454"/>
      <c r="AC27" s="455"/>
      <c r="AD27" s="455"/>
      <c r="AE27" s="455"/>
      <c r="AF27" s="455"/>
      <c r="AG27" s="456"/>
      <c r="AH27" s="445"/>
      <c r="AI27" s="446"/>
      <c r="AJ27" s="446"/>
      <c r="AK27" s="446"/>
      <c r="AL27" s="446"/>
      <c r="AM27" s="447"/>
      <c r="AN27" s="41"/>
      <c r="AO27" s="497"/>
      <c r="AP27" s="498"/>
      <c r="AQ27" s="498"/>
      <c r="AR27" s="498"/>
      <c r="AS27" s="498"/>
      <c r="AT27" s="499"/>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c r="CB27" s="41"/>
    </row>
    <row r="28" spans="1:80" x14ac:dyDescent="0.25">
      <c r="A28" s="41"/>
      <c r="B28" s="474"/>
      <c r="C28" s="474"/>
      <c r="D28" s="475"/>
      <c r="E28" s="467"/>
      <c r="F28" s="468"/>
      <c r="G28" s="468"/>
      <c r="H28" s="468"/>
      <c r="I28" s="469"/>
      <c r="J28" s="436" t="str">
        <f>IF(AND('1. Mapa de Riesgos'!$J$68="Media",'1. Mapa de Riesgos'!$N$68="Leve"),CONCATENATE("R",'1. Mapa de Riesgos'!$B$68),"")</f>
        <v/>
      </c>
      <c r="K28" s="437"/>
      <c r="L28" s="437" t="str">
        <f>IF(AND('1. Mapa de Riesgos'!$J$86="Media",'1. Mapa de Riesgos'!$N$86="Leve"),CONCATENATE("R",'1. Mapa de Riesgos'!#REF!),"")</f>
        <v/>
      </c>
      <c r="M28" s="437"/>
      <c r="N28" s="437" t="e">
        <f>IF(AND('1. Mapa de Riesgos'!#REF!="Media",'1. Mapa de Riesgos'!#REF!="Leve"),CONCATENATE("R",'1. Mapa de Riesgos'!#REF!),"")</f>
        <v>#REF!</v>
      </c>
      <c r="O28" s="438"/>
      <c r="P28" s="436" t="str">
        <f>IF(AND('1. Mapa de Riesgos'!$J$68="Media",'1. Mapa de Riesgos'!$N$68="Menor"),CONCATENATE("R",'1. Mapa de Riesgos'!$B$68),"")</f>
        <v/>
      </c>
      <c r="Q28" s="437"/>
      <c r="R28" s="437" t="str">
        <f>IF(AND('1. Mapa de Riesgos'!$J$86="Media",'1. Mapa de Riesgos'!$N$86="Menor"),CONCATENATE("R",'1. Mapa de Riesgos'!#REF!),"")</f>
        <v/>
      </c>
      <c r="S28" s="437"/>
      <c r="T28" s="437" t="e">
        <f>IF(AND('1. Mapa de Riesgos'!#REF!="Media",'1. Mapa de Riesgos'!#REF!="Menor"),CONCATENATE("R",'1. Mapa de Riesgos'!#REF!),"")</f>
        <v>#REF!</v>
      </c>
      <c r="U28" s="438"/>
      <c r="V28" s="436" t="str">
        <f>IF(AND('1. Mapa de Riesgos'!$J$68="Media",'1. Mapa de Riesgos'!$N$68="Moderado"),CONCATENATE("R",'1. Mapa de Riesgos'!$B$68),"")</f>
        <v/>
      </c>
      <c r="W28" s="437"/>
      <c r="X28" s="437" t="str">
        <f>IF(AND('1. Mapa de Riesgos'!$J$86="Media",'1. Mapa de Riesgos'!$N$86="Moderado"),CONCATENATE("R",'1. Mapa de Riesgos'!#REF!),"")</f>
        <v/>
      </c>
      <c r="Y28" s="437"/>
      <c r="Z28" s="437" t="e">
        <f>IF(AND('1. Mapa de Riesgos'!#REF!="Media",'1. Mapa de Riesgos'!#REF!="Moderado"),CONCATENATE("R",'1. Mapa de Riesgos'!#REF!),"")</f>
        <v>#REF!</v>
      </c>
      <c r="AA28" s="438"/>
      <c r="AB28" s="454" t="str">
        <f>IF(AND('1. Mapa de Riesgos'!$J$68="Media",'1. Mapa de Riesgos'!$N$68="Mayor"),CONCATENATE("R",'1. Mapa de Riesgos'!$B$68),"")</f>
        <v/>
      </c>
      <c r="AC28" s="455"/>
      <c r="AD28" s="455" t="str">
        <f>IF(AND('1. Mapa de Riesgos'!$J$86="Media",'1. Mapa de Riesgos'!$N$86="Mayor"),CONCATENATE("R",'1. Mapa de Riesgos'!#REF!),"")</f>
        <v/>
      </c>
      <c r="AE28" s="455"/>
      <c r="AF28" s="455" t="e">
        <f>IF(AND('1. Mapa de Riesgos'!#REF!="Media",'1. Mapa de Riesgos'!#REF!="Mayor"),CONCATENATE("R",'1. Mapa de Riesgos'!#REF!),"")</f>
        <v>#REF!</v>
      </c>
      <c r="AG28" s="456"/>
      <c r="AH28" s="445" t="str">
        <f>IF(AND('1. Mapa de Riesgos'!$J$68="Media",'1. Mapa de Riesgos'!$N$68="Catastrófico"),CONCATENATE("R",'1. Mapa de Riesgos'!$B$68),"")</f>
        <v/>
      </c>
      <c r="AI28" s="446"/>
      <c r="AJ28" s="446" t="str">
        <f>IF(AND('1. Mapa de Riesgos'!$J$86="Media",'1. Mapa de Riesgos'!$N$86="Catastrófico"),CONCATENATE("R",'1. Mapa de Riesgos'!#REF!),"")</f>
        <v/>
      </c>
      <c r="AK28" s="446"/>
      <c r="AL28" s="446" t="e">
        <f>IF(AND('1. Mapa de Riesgos'!#REF!="Media",'1. Mapa de Riesgos'!#REF!="Catastrófico"),CONCATENATE("R",'1. Mapa de Riesgos'!#REF!),"")</f>
        <v>#REF!</v>
      </c>
      <c r="AM28" s="447"/>
      <c r="AN28" s="41"/>
      <c r="AO28" s="497"/>
      <c r="AP28" s="498"/>
      <c r="AQ28" s="498"/>
      <c r="AR28" s="498"/>
      <c r="AS28" s="498"/>
      <c r="AT28" s="499"/>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row>
    <row r="29" spans="1:80" ht="15.75" thickBot="1" x14ac:dyDescent="0.3">
      <c r="A29" s="41"/>
      <c r="B29" s="474"/>
      <c r="C29" s="474"/>
      <c r="D29" s="475"/>
      <c r="E29" s="470"/>
      <c r="F29" s="471"/>
      <c r="G29" s="471"/>
      <c r="H29" s="471"/>
      <c r="I29" s="472"/>
      <c r="J29" s="436"/>
      <c r="K29" s="437"/>
      <c r="L29" s="437"/>
      <c r="M29" s="437"/>
      <c r="N29" s="437"/>
      <c r="O29" s="438"/>
      <c r="P29" s="439"/>
      <c r="Q29" s="440"/>
      <c r="R29" s="440"/>
      <c r="S29" s="440"/>
      <c r="T29" s="440"/>
      <c r="U29" s="441"/>
      <c r="V29" s="439"/>
      <c r="W29" s="440"/>
      <c r="X29" s="440"/>
      <c r="Y29" s="440"/>
      <c r="Z29" s="440"/>
      <c r="AA29" s="441"/>
      <c r="AB29" s="457"/>
      <c r="AC29" s="458"/>
      <c r="AD29" s="458"/>
      <c r="AE29" s="458"/>
      <c r="AF29" s="458"/>
      <c r="AG29" s="459"/>
      <c r="AH29" s="448"/>
      <c r="AI29" s="449"/>
      <c r="AJ29" s="449"/>
      <c r="AK29" s="449"/>
      <c r="AL29" s="449"/>
      <c r="AM29" s="450"/>
      <c r="AN29" s="41"/>
      <c r="AO29" s="500"/>
      <c r="AP29" s="501"/>
      <c r="AQ29" s="501"/>
      <c r="AR29" s="501"/>
      <c r="AS29" s="501"/>
      <c r="AT29" s="502"/>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row>
    <row r="30" spans="1:80" x14ac:dyDescent="0.25">
      <c r="A30" s="41"/>
      <c r="B30" s="474"/>
      <c r="C30" s="474"/>
      <c r="D30" s="475"/>
      <c r="E30" s="464" t="s">
        <v>117</v>
      </c>
      <c r="F30" s="465"/>
      <c r="G30" s="465"/>
      <c r="H30" s="465"/>
      <c r="I30" s="465"/>
      <c r="J30" s="433" t="str">
        <f>IF(AND('1. Mapa de Riesgos'!$J$14="Baja",'1. Mapa de Riesgos'!$N$14="Leve"),CONCATENATE("R",'1. Mapa de Riesgos'!$B$14),"")</f>
        <v/>
      </c>
      <c r="K30" s="434"/>
      <c r="L30" s="434" t="str">
        <f>IF(AND('1. Mapa de Riesgos'!$J$32="Baja",'1. Mapa de Riesgos'!$N$32="Leve"),CONCATENATE("R",'1. Mapa de Riesgos'!$B$32),"")</f>
        <v/>
      </c>
      <c r="M30" s="434"/>
      <c r="N30" s="434" t="str">
        <f>IF(AND('1. Mapa de Riesgos'!$J$38="Baja",'1. Mapa de Riesgos'!$N$38="Leve"),CONCATENATE("R",'1. Mapa de Riesgos'!$B$38),"")</f>
        <v/>
      </c>
      <c r="O30" s="435"/>
      <c r="P30" s="443" t="str">
        <f>IF(AND('1. Mapa de Riesgos'!$J$14="Baja",'1. Mapa de Riesgos'!$N$14="Menor"),CONCATENATE("R",'1. Mapa de Riesgos'!$B$14),"")</f>
        <v/>
      </c>
      <c r="Q30" s="443"/>
      <c r="R30" s="443" t="str">
        <f>IF(AND('1. Mapa de Riesgos'!$J$32="Baja",'1. Mapa de Riesgos'!$N$32="Menor"),CONCATENATE("R",'1. Mapa de Riesgos'!$B$32),"")</f>
        <v/>
      </c>
      <c r="S30" s="443"/>
      <c r="T30" s="443" t="str">
        <f>IF(AND('1. Mapa de Riesgos'!$J$38="Baja",'1. Mapa de Riesgos'!$N$38="Menor"),CONCATENATE("R",'1. Mapa de Riesgos'!$B$38),"")</f>
        <v/>
      </c>
      <c r="U30" s="444"/>
      <c r="V30" s="442" t="str">
        <f>IF(AND('1. Mapa de Riesgos'!$J$14="Baja",'1. Mapa de Riesgos'!$N$14="Moderado"),CONCATENATE("R",'1. Mapa de Riesgos'!$B$14),"")</f>
        <v/>
      </c>
      <c r="W30" s="443"/>
      <c r="X30" s="443" t="str">
        <f>IF(AND('1. Mapa de Riesgos'!$J$32="Baja",'1. Mapa de Riesgos'!$N$32="Moderado"),CONCATENATE("R",'1. Mapa de Riesgos'!$B$32),"")</f>
        <v/>
      </c>
      <c r="Y30" s="443"/>
      <c r="Z30" s="443" t="str">
        <f>IF(AND('1. Mapa de Riesgos'!$J$38="Baja",'1. Mapa de Riesgos'!$N$38="Moderado"),CONCATENATE("R",'1. Mapa de Riesgos'!$B$38),"")</f>
        <v/>
      </c>
      <c r="AA30" s="444"/>
      <c r="AB30" s="460" t="str">
        <f>IF(AND('1. Mapa de Riesgos'!$J$14="Baja",'1. Mapa de Riesgos'!$N$14="Mayor"),CONCATENATE("R",'1. Mapa de Riesgos'!$B$14),"")</f>
        <v/>
      </c>
      <c r="AC30" s="461"/>
      <c r="AD30" s="461" t="str">
        <f>IF(AND('1. Mapa de Riesgos'!$J$32="Baja",'1. Mapa de Riesgos'!$N$32="Mayor"),CONCATENATE("R",'1. Mapa de Riesgos'!$B$32),"")</f>
        <v/>
      </c>
      <c r="AE30" s="461"/>
      <c r="AF30" s="461" t="str">
        <f>IF(AND('1. Mapa de Riesgos'!$J$38="Baja",'1. Mapa de Riesgos'!$N$38="Mayor"),CONCATENATE("R",'1. Mapa de Riesgos'!$B$38),"")</f>
        <v/>
      </c>
      <c r="AG30" s="462"/>
      <c r="AH30" s="451" t="str">
        <f>IF(AND('1. Mapa de Riesgos'!$J$14="Baja",'1. Mapa de Riesgos'!$N$14="Catastrófico"),CONCATENATE("R",'1. Mapa de Riesgos'!$B$14),"")</f>
        <v/>
      </c>
      <c r="AI30" s="452"/>
      <c r="AJ30" s="452" t="str">
        <f>IF(AND('1. Mapa de Riesgos'!$J$32="Baja",'1. Mapa de Riesgos'!$N$32="Catastrófico"),CONCATENATE("R",'1. Mapa de Riesgos'!$B$32),"")</f>
        <v/>
      </c>
      <c r="AK30" s="452"/>
      <c r="AL30" s="452" t="str">
        <f>IF(AND('1. Mapa de Riesgos'!$J$38="Baja",'1. Mapa de Riesgos'!$N$38="Catastrófico"),CONCATENATE("R",'1. Mapa de Riesgos'!$B$38),"")</f>
        <v/>
      </c>
      <c r="AM30" s="453"/>
      <c r="AN30" s="41"/>
      <c r="AO30" s="503" t="s">
        <v>118</v>
      </c>
      <c r="AP30" s="504"/>
      <c r="AQ30" s="504"/>
      <c r="AR30" s="504"/>
      <c r="AS30" s="504"/>
      <c r="AT30" s="505"/>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row>
    <row r="31" spans="1:80" x14ac:dyDescent="0.25">
      <c r="A31" s="41"/>
      <c r="B31" s="474"/>
      <c r="C31" s="474"/>
      <c r="D31" s="475"/>
      <c r="E31" s="467"/>
      <c r="F31" s="468"/>
      <c r="G31" s="468"/>
      <c r="H31" s="468"/>
      <c r="I31" s="468"/>
      <c r="J31" s="427"/>
      <c r="K31" s="428"/>
      <c r="L31" s="428"/>
      <c r="M31" s="428"/>
      <c r="N31" s="428"/>
      <c r="O31" s="429"/>
      <c r="P31" s="437"/>
      <c r="Q31" s="437"/>
      <c r="R31" s="437"/>
      <c r="S31" s="437"/>
      <c r="T31" s="437"/>
      <c r="U31" s="438"/>
      <c r="V31" s="436"/>
      <c r="W31" s="437"/>
      <c r="X31" s="437"/>
      <c r="Y31" s="437"/>
      <c r="Z31" s="437"/>
      <c r="AA31" s="438"/>
      <c r="AB31" s="454"/>
      <c r="AC31" s="455"/>
      <c r="AD31" s="455"/>
      <c r="AE31" s="455"/>
      <c r="AF31" s="455"/>
      <c r="AG31" s="456"/>
      <c r="AH31" s="445"/>
      <c r="AI31" s="446"/>
      <c r="AJ31" s="446"/>
      <c r="AK31" s="446"/>
      <c r="AL31" s="446"/>
      <c r="AM31" s="447"/>
      <c r="AN31" s="41"/>
      <c r="AO31" s="506"/>
      <c r="AP31" s="507"/>
      <c r="AQ31" s="507"/>
      <c r="AR31" s="507"/>
      <c r="AS31" s="507"/>
      <c r="AT31" s="508"/>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row>
    <row r="32" spans="1:80" x14ac:dyDescent="0.25">
      <c r="A32" s="41"/>
      <c r="B32" s="474"/>
      <c r="C32" s="474"/>
      <c r="D32" s="475"/>
      <c r="E32" s="467"/>
      <c r="F32" s="468"/>
      <c r="G32" s="468"/>
      <c r="H32" s="468"/>
      <c r="I32" s="468"/>
      <c r="J32" s="427" t="str">
        <f>IF(AND('1. Mapa de Riesgos'!$J$50="Baja",'1. Mapa de Riesgos'!$N$50="Leve"),CONCATENATE("R",'1. Mapa de Riesgos'!$B$50),"")</f>
        <v/>
      </c>
      <c r="K32" s="428"/>
      <c r="L32" s="428" t="e">
        <f>IF(AND('1. Mapa de Riesgos'!#REF!="Baja",'1. Mapa de Riesgos'!#REF!="Leve"),CONCATENATE("R",'1. Mapa de Riesgos'!#REF!),"")</f>
        <v>#REF!</v>
      </c>
      <c r="M32" s="428"/>
      <c r="N32" s="428" t="str">
        <f>IF(AND('1. Mapa de Riesgos'!$J$56="Baja",'1. Mapa de Riesgos'!$N$56="Leve"),CONCATENATE("R",'1. Mapa de Riesgos'!$B$56),"")</f>
        <v/>
      </c>
      <c r="O32" s="429"/>
      <c r="P32" s="437" t="str">
        <f>IF(AND('1. Mapa de Riesgos'!$J$50="Baja",'1. Mapa de Riesgos'!$N$50="Menor"),CONCATENATE("R",'1. Mapa de Riesgos'!$B$50),"")</f>
        <v/>
      </c>
      <c r="Q32" s="437"/>
      <c r="R32" s="437" t="e">
        <f>IF(AND('1. Mapa de Riesgos'!#REF!="Baja",'1. Mapa de Riesgos'!#REF!="Menor"),CONCATENATE("R",'1. Mapa de Riesgos'!#REF!),"")</f>
        <v>#REF!</v>
      </c>
      <c r="S32" s="437"/>
      <c r="T32" s="437" t="str">
        <f>IF(AND('1. Mapa de Riesgos'!$J$56="Baja",'1. Mapa de Riesgos'!$N$56="Menor"),CONCATENATE("R",'1. Mapa de Riesgos'!$B$56),"")</f>
        <v/>
      </c>
      <c r="U32" s="438"/>
      <c r="V32" s="436" t="str">
        <f>IF(AND('1. Mapa de Riesgos'!$J$50="Baja",'1. Mapa de Riesgos'!$N$50="Moderado"),CONCATENATE("R",'1. Mapa de Riesgos'!$B$50),"")</f>
        <v/>
      </c>
      <c r="W32" s="437"/>
      <c r="X32" s="437" t="e">
        <f>IF(AND('1. Mapa de Riesgos'!#REF!="Baja",'1. Mapa de Riesgos'!#REF!="Moderado"),CONCATENATE("R",'1. Mapa de Riesgos'!#REF!),"")</f>
        <v>#REF!</v>
      </c>
      <c r="Y32" s="437"/>
      <c r="Z32" s="437" t="str">
        <f>IF(AND('1. Mapa de Riesgos'!$J$56="Baja",'1. Mapa de Riesgos'!$N$56="Moderado"),CONCATENATE("R",'1. Mapa de Riesgos'!$B$56),"")</f>
        <v/>
      </c>
      <c r="AA32" s="438"/>
      <c r="AB32" s="454" t="str">
        <f>IF(AND('1. Mapa de Riesgos'!$J$50="Baja",'1. Mapa de Riesgos'!$N$50="Mayor"),CONCATENATE("R",'1. Mapa de Riesgos'!$B$50),"")</f>
        <v/>
      </c>
      <c r="AC32" s="455"/>
      <c r="AD32" s="455" t="e">
        <f>IF(AND('1. Mapa de Riesgos'!#REF!="Baja",'1. Mapa de Riesgos'!#REF!="Mayor"),CONCATENATE("R",'1. Mapa de Riesgos'!#REF!),"")</f>
        <v>#REF!</v>
      </c>
      <c r="AE32" s="455"/>
      <c r="AF32" s="455" t="str">
        <f>IF(AND('1. Mapa de Riesgos'!$J$56="Baja",'1. Mapa de Riesgos'!$N$56="Mayor"),CONCATENATE("R",'1. Mapa de Riesgos'!$B$56),"")</f>
        <v/>
      </c>
      <c r="AG32" s="456"/>
      <c r="AH32" s="445" t="str">
        <f>IF(AND('1. Mapa de Riesgos'!$J$50="Baja",'1. Mapa de Riesgos'!$N$50="Catastrófico"),CONCATENATE("R",'1. Mapa de Riesgos'!$B$50),"")</f>
        <v/>
      </c>
      <c r="AI32" s="446"/>
      <c r="AJ32" s="446" t="e">
        <f>IF(AND('1. Mapa de Riesgos'!#REF!="Baja",'1. Mapa de Riesgos'!#REF!="Catastrófico"),CONCATENATE("R",'1. Mapa de Riesgos'!#REF!),"")</f>
        <v>#REF!</v>
      </c>
      <c r="AK32" s="446"/>
      <c r="AL32" s="446" t="str">
        <f>IF(AND('1. Mapa de Riesgos'!$J$56="Baja",'1. Mapa de Riesgos'!$N$56="Catastrófico"),CONCATENATE("R",'1. Mapa de Riesgos'!$B$56),"")</f>
        <v/>
      </c>
      <c r="AM32" s="447"/>
      <c r="AN32" s="41"/>
      <c r="AO32" s="506"/>
      <c r="AP32" s="507"/>
      <c r="AQ32" s="507"/>
      <c r="AR32" s="507"/>
      <c r="AS32" s="507"/>
      <c r="AT32" s="508"/>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row>
    <row r="33" spans="1:80" x14ac:dyDescent="0.25">
      <c r="A33" s="41"/>
      <c r="B33" s="474"/>
      <c r="C33" s="474"/>
      <c r="D33" s="475"/>
      <c r="E33" s="467"/>
      <c r="F33" s="468"/>
      <c r="G33" s="468"/>
      <c r="H33" s="468"/>
      <c r="I33" s="468"/>
      <c r="J33" s="427"/>
      <c r="K33" s="428"/>
      <c r="L33" s="428"/>
      <c r="M33" s="428"/>
      <c r="N33" s="428"/>
      <c r="O33" s="429"/>
      <c r="P33" s="437"/>
      <c r="Q33" s="437"/>
      <c r="R33" s="437"/>
      <c r="S33" s="437"/>
      <c r="T33" s="437"/>
      <c r="U33" s="438"/>
      <c r="V33" s="436"/>
      <c r="W33" s="437"/>
      <c r="X33" s="437"/>
      <c r="Y33" s="437"/>
      <c r="Z33" s="437"/>
      <c r="AA33" s="438"/>
      <c r="AB33" s="454"/>
      <c r="AC33" s="455"/>
      <c r="AD33" s="455"/>
      <c r="AE33" s="455"/>
      <c r="AF33" s="455"/>
      <c r="AG33" s="456"/>
      <c r="AH33" s="445"/>
      <c r="AI33" s="446"/>
      <c r="AJ33" s="446"/>
      <c r="AK33" s="446"/>
      <c r="AL33" s="446"/>
      <c r="AM33" s="447"/>
      <c r="AN33" s="41"/>
      <c r="AO33" s="506"/>
      <c r="AP33" s="507"/>
      <c r="AQ33" s="507"/>
      <c r="AR33" s="507"/>
      <c r="AS33" s="507"/>
      <c r="AT33" s="508"/>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row>
    <row r="34" spans="1:80" x14ac:dyDescent="0.25">
      <c r="A34" s="41"/>
      <c r="B34" s="474"/>
      <c r="C34" s="474"/>
      <c r="D34" s="475"/>
      <c r="E34" s="467"/>
      <c r="F34" s="468"/>
      <c r="G34" s="468"/>
      <c r="H34" s="468"/>
      <c r="I34" s="468"/>
      <c r="J34" s="427" t="str">
        <f>IF(AND('1. Mapa de Riesgos'!$J$26="Baja",'1. Mapa de Riesgos'!$N$26="Leve"),CONCATENATE("R",'1. Mapa de Riesgos'!$B$26),"")</f>
        <v/>
      </c>
      <c r="K34" s="428"/>
      <c r="L34" s="428" t="str">
        <f>IF(AND('1. Mapa de Riesgos'!$J$20="Baja",'1. Mapa de Riesgos'!$N$20="Leve"),CONCATENATE("R",'1. Mapa de Riesgos'!$B$20),"")</f>
        <v/>
      </c>
      <c r="M34" s="428"/>
      <c r="N34" s="428" t="str">
        <f>IF(AND('1. Mapa de Riesgos'!$J$62="Baja",'1. Mapa de Riesgos'!$N$62="Leve"),CONCATENATE("R",'1. Mapa de Riesgos'!$B$62),"")</f>
        <v/>
      </c>
      <c r="O34" s="429"/>
      <c r="P34" s="437" t="str">
        <f>IF(AND('1. Mapa de Riesgos'!$J$26="Baja",'1. Mapa de Riesgos'!$N$26="Menor"),CONCATENATE("R",'1. Mapa de Riesgos'!$B$26),"")</f>
        <v>R3</v>
      </c>
      <c r="Q34" s="437"/>
      <c r="R34" s="437" t="str">
        <f>IF(AND('1. Mapa de Riesgos'!$J$20="Baja",'1. Mapa de Riesgos'!$N$20="Menor"),CONCATENATE("R",'1. Mapa de Riesgos'!$B$20),"")</f>
        <v>R2</v>
      </c>
      <c r="S34" s="437"/>
      <c r="T34" s="437" t="str">
        <f>IF(AND('1. Mapa de Riesgos'!$J$62="Baja",'1. Mapa de Riesgos'!$N$62="Menor"),CONCATENATE("R",'1. Mapa de Riesgos'!$B$62),"")</f>
        <v/>
      </c>
      <c r="U34" s="438"/>
      <c r="V34" s="436" t="str">
        <f>IF(AND('1. Mapa de Riesgos'!$J$26="Baja",'1. Mapa de Riesgos'!$N$26="Moderado"),CONCATENATE("R",'1. Mapa de Riesgos'!$B$26),"")</f>
        <v/>
      </c>
      <c r="W34" s="437"/>
      <c r="X34" s="437" t="str">
        <f>IF(AND('1. Mapa de Riesgos'!$J$20="Baja",'1. Mapa de Riesgos'!$N$20="Moderado"),CONCATENATE("R",'1. Mapa de Riesgos'!$B$20),"")</f>
        <v/>
      </c>
      <c r="Y34" s="437"/>
      <c r="Z34" s="437" t="str">
        <f>IF(AND('1. Mapa de Riesgos'!$J$62="Baja",'1. Mapa de Riesgos'!$N$62="Moderado"),CONCATENATE("R",'1. Mapa de Riesgos'!$B$62),"")</f>
        <v/>
      </c>
      <c r="AA34" s="438"/>
      <c r="AB34" s="454" t="str">
        <f>IF(AND('1. Mapa de Riesgos'!$J$26="Baja",'1. Mapa de Riesgos'!$N$26="Mayor"),CONCATENATE("R",'1. Mapa de Riesgos'!$B$26),"")</f>
        <v/>
      </c>
      <c r="AC34" s="455"/>
      <c r="AD34" s="455" t="str">
        <f>IF(AND('1. Mapa de Riesgos'!$J$20="Baja",'1. Mapa de Riesgos'!$N$20="Mayor"),CONCATENATE("R",'1. Mapa de Riesgos'!$B$20),"")</f>
        <v/>
      </c>
      <c r="AE34" s="455"/>
      <c r="AF34" s="455" t="str">
        <f>IF(AND('1. Mapa de Riesgos'!$J$62="Baja",'1. Mapa de Riesgos'!$N$62="Mayor"),CONCATENATE("R",'1. Mapa de Riesgos'!$B$62),"")</f>
        <v/>
      </c>
      <c r="AG34" s="456"/>
      <c r="AH34" s="445" t="str">
        <f>IF(AND('1. Mapa de Riesgos'!$J$26="Baja",'1. Mapa de Riesgos'!$N$26="Catastrófico"),CONCATENATE("R",'1. Mapa de Riesgos'!$B$26),"")</f>
        <v/>
      </c>
      <c r="AI34" s="446"/>
      <c r="AJ34" s="446" t="str">
        <f>IF(AND('1. Mapa de Riesgos'!$J$20="Baja",'1. Mapa de Riesgos'!$N$20="Catastrófico"),CONCATENATE("R",'1. Mapa de Riesgos'!$B$20),"")</f>
        <v/>
      </c>
      <c r="AK34" s="446"/>
      <c r="AL34" s="446" t="str">
        <f>IF(AND('1. Mapa de Riesgos'!$J$62="Baja",'1. Mapa de Riesgos'!$N$62="Catastrófico"),CONCATENATE("R",'1. Mapa de Riesgos'!$B$62),"")</f>
        <v/>
      </c>
      <c r="AM34" s="447"/>
      <c r="AN34" s="41"/>
      <c r="AO34" s="506"/>
      <c r="AP34" s="507"/>
      <c r="AQ34" s="507"/>
      <c r="AR34" s="507"/>
      <c r="AS34" s="507"/>
      <c r="AT34" s="508"/>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c r="BY34" s="41"/>
      <c r="BZ34" s="41"/>
      <c r="CA34" s="41"/>
      <c r="CB34" s="41"/>
    </row>
    <row r="35" spans="1:80" x14ac:dyDescent="0.25">
      <c r="A35" s="41"/>
      <c r="B35" s="474"/>
      <c r="C35" s="474"/>
      <c r="D35" s="475"/>
      <c r="E35" s="467"/>
      <c r="F35" s="468"/>
      <c r="G35" s="468"/>
      <c r="H35" s="468"/>
      <c r="I35" s="468"/>
      <c r="J35" s="427"/>
      <c r="K35" s="428"/>
      <c r="L35" s="428"/>
      <c r="M35" s="428"/>
      <c r="N35" s="428"/>
      <c r="O35" s="429"/>
      <c r="P35" s="437"/>
      <c r="Q35" s="437"/>
      <c r="R35" s="437"/>
      <c r="S35" s="437"/>
      <c r="T35" s="437"/>
      <c r="U35" s="438"/>
      <c r="V35" s="436"/>
      <c r="W35" s="437"/>
      <c r="X35" s="437"/>
      <c r="Y35" s="437"/>
      <c r="Z35" s="437"/>
      <c r="AA35" s="438"/>
      <c r="AB35" s="454"/>
      <c r="AC35" s="455"/>
      <c r="AD35" s="455"/>
      <c r="AE35" s="455"/>
      <c r="AF35" s="455"/>
      <c r="AG35" s="456"/>
      <c r="AH35" s="445"/>
      <c r="AI35" s="446"/>
      <c r="AJ35" s="446"/>
      <c r="AK35" s="446"/>
      <c r="AL35" s="446"/>
      <c r="AM35" s="447"/>
      <c r="AN35" s="41"/>
      <c r="AO35" s="506"/>
      <c r="AP35" s="507"/>
      <c r="AQ35" s="507"/>
      <c r="AR35" s="507"/>
      <c r="AS35" s="507"/>
      <c r="AT35" s="508"/>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c r="BY35" s="41"/>
      <c r="BZ35" s="41"/>
      <c r="CA35" s="41"/>
      <c r="CB35" s="41"/>
    </row>
    <row r="36" spans="1:80" x14ac:dyDescent="0.25">
      <c r="A36" s="41"/>
      <c r="B36" s="474"/>
      <c r="C36" s="474"/>
      <c r="D36" s="475"/>
      <c r="E36" s="467"/>
      <c r="F36" s="468"/>
      <c r="G36" s="468"/>
      <c r="H36" s="468"/>
      <c r="I36" s="468"/>
      <c r="J36" s="427" t="str">
        <f>IF(AND('1. Mapa de Riesgos'!$J$68="Baja",'1. Mapa de Riesgos'!$N$68="Leve"),CONCATENATE("R",'1. Mapa de Riesgos'!$B$68),"")</f>
        <v/>
      </c>
      <c r="K36" s="428"/>
      <c r="L36" s="428" t="str">
        <f>IF(AND('1. Mapa de Riesgos'!$J$86="Baja",'1. Mapa de Riesgos'!$N$86="Leve"),CONCATENATE("R",'1. Mapa de Riesgos'!#REF!),"")</f>
        <v/>
      </c>
      <c r="M36" s="428"/>
      <c r="N36" s="428" t="e">
        <f>IF(AND('1. Mapa de Riesgos'!#REF!="Baja",'1. Mapa de Riesgos'!#REF!="Leve"),CONCATENATE("R",'1. Mapa de Riesgos'!#REF!),"")</f>
        <v>#REF!</v>
      </c>
      <c r="O36" s="429"/>
      <c r="P36" s="437" t="str">
        <f>IF(AND('1. Mapa de Riesgos'!$J$68="Baja",'1. Mapa de Riesgos'!$N$68="Menor"),CONCATENATE("R",'1. Mapa de Riesgos'!$B$68),"")</f>
        <v/>
      </c>
      <c r="Q36" s="437"/>
      <c r="R36" s="437" t="str">
        <f>IF(AND('1. Mapa de Riesgos'!$J$86="Baja",'1. Mapa de Riesgos'!$N$86="Menor"),CONCATENATE("R",'1. Mapa de Riesgos'!#REF!),"")</f>
        <v/>
      </c>
      <c r="S36" s="437"/>
      <c r="T36" s="437" t="e">
        <f>IF(AND('1. Mapa de Riesgos'!#REF!="Baja",'1. Mapa de Riesgos'!#REF!="Menor"),CONCATENATE("R",'1. Mapa de Riesgos'!#REF!),"")</f>
        <v>#REF!</v>
      </c>
      <c r="U36" s="438"/>
      <c r="V36" s="436" t="str">
        <f>IF(AND('1. Mapa de Riesgos'!$J$68="Baja",'1. Mapa de Riesgos'!$N$68="Moderado"),CONCATENATE("R",'1. Mapa de Riesgos'!$B$68),"")</f>
        <v/>
      </c>
      <c r="W36" s="437"/>
      <c r="X36" s="437" t="str">
        <f>IF(AND('1. Mapa de Riesgos'!$J$86="Baja",'1. Mapa de Riesgos'!$N$86="Moderado"),CONCATENATE("R",'1. Mapa de Riesgos'!#REF!),"")</f>
        <v/>
      </c>
      <c r="Y36" s="437"/>
      <c r="Z36" s="437" t="e">
        <f>IF(AND('1. Mapa de Riesgos'!#REF!="Baja",'1. Mapa de Riesgos'!#REF!="Moderado"),CONCATENATE("R",'1. Mapa de Riesgos'!#REF!),"")</f>
        <v>#REF!</v>
      </c>
      <c r="AA36" s="438"/>
      <c r="AB36" s="454" t="str">
        <f>IF(AND('1. Mapa de Riesgos'!$J$68="Baja",'1. Mapa de Riesgos'!$N$68="Mayor"),CONCATENATE("R",'1. Mapa de Riesgos'!$B$68),"")</f>
        <v/>
      </c>
      <c r="AC36" s="455"/>
      <c r="AD36" s="455" t="str">
        <f>IF(AND('1. Mapa de Riesgos'!$J$86="Baja",'1. Mapa de Riesgos'!$N$86="Mayor"),CONCATENATE("R",'1. Mapa de Riesgos'!#REF!),"")</f>
        <v/>
      </c>
      <c r="AE36" s="455"/>
      <c r="AF36" s="455" t="e">
        <f>IF(AND('1. Mapa de Riesgos'!#REF!="Baja",'1. Mapa de Riesgos'!#REF!="Mayor"),CONCATENATE("R",'1. Mapa de Riesgos'!#REF!),"")</f>
        <v>#REF!</v>
      </c>
      <c r="AG36" s="456"/>
      <c r="AH36" s="445" t="str">
        <f>IF(AND('1. Mapa de Riesgos'!$J$68="Baja",'1. Mapa de Riesgos'!$N$68="Catastrófico"),CONCATENATE("R",'1. Mapa de Riesgos'!$B$68),"")</f>
        <v/>
      </c>
      <c r="AI36" s="446"/>
      <c r="AJ36" s="446" t="str">
        <f>IF(AND('1. Mapa de Riesgos'!$J$86="Baja",'1. Mapa de Riesgos'!$N$86="Catastrófico"),CONCATENATE("R",'1. Mapa de Riesgos'!#REF!),"")</f>
        <v/>
      </c>
      <c r="AK36" s="446"/>
      <c r="AL36" s="446" t="e">
        <f>IF(AND('1. Mapa de Riesgos'!#REF!="Baja",'1. Mapa de Riesgos'!#REF!="Catastrófico"),CONCATENATE("R",'1. Mapa de Riesgos'!#REF!),"")</f>
        <v>#REF!</v>
      </c>
      <c r="AM36" s="447"/>
      <c r="AN36" s="41"/>
      <c r="AO36" s="506"/>
      <c r="AP36" s="507"/>
      <c r="AQ36" s="507"/>
      <c r="AR36" s="507"/>
      <c r="AS36" s="507"/>
      <c r="AT36" s="508"/>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c r="BY36" s="41"/>
      <c r="BZ36" s="41"/>
      <c r="CA36" s="41"/>
      <c r="CB36" s="41"/>
    </row>
    <row r="37" spans="1:80" ht="15.75" thickBot="1" x14ac:dyDescent="0.3">
      <c r="A37" s="41"/>
      <c r="B37" s="474"/>
      <c r="C37" s="474"/>
      <c r="D37" s="475"/>
      <c r="E37" s="470"/>
      <c r="F37" s="471"/>
      <c r="G37" s="471"/>
      <c r="H37" s="471"/>
      <c r="I37" s="471"/>
      <c r="J37" s="430"/>
      <c r="K37" s="431"/>
      <c r="L37" s="431"/>
      <c r="M37" s="431"/>
      <c r="N37" s="431"/>
      <c r="O37" s="432"/>
      <c r="P37" s="440"/>
      <c r="Q37" s="440"/>
      <c r="R37" s="440"/>
      <c r="S37" s="440"/>
      <c r="T37" s="440"/>
      <c r="U37" s="441"/>
      <c r="V37" s="439"/>
      <c r="W37" s="440"/>
      <c r="X37" s="440"/>
      <c r="Y37" s="440"/>
      <c r="Z37" s="440"/>
      <c r="AA37" s="441"/>
      <c r="AB37" s="457"/>
      <c r="AC37" s="458"/>
      <c r="AD37" s="458"/>
      <c r="AE37" s="458"/>
      <c r="AF37" s="458"/>
      <c r="AG37" s="459"/>
      <c r="AH37" s="448"/>
      <c r="AI37" s="449"/>
      <c r="AJ37" s="449"/>
      <c r="AK37" s="449"/>
      <c r="AL37" s="449"/>
      <c r="AM37" s="450"/>
      <c r="AN37" s="41"/>
      <c r="AO37" s="509"/>
      <c r="AP37" s="510"/>
      <c r="AQ37" s="510"/>
      <c r="AR37" s="510"/>
      <c r="AS37" s="510"/>
      <c r="AT37" s="511"/>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row>
    <row r="38" spans="1:80" x14ac:dyDescent="0.25">
      <c r="A38" s="41"/>
      <c r="B38" s="474"/>
      <c r="C38" s="474"/>
      <c r="D38" s="475"/>
      <c r="E38" s="464" t="s">
        <v>119</v>
      </c>
      <c r="F38" s="465"/>
      <c r="G38" s="465"/>
      <c r="H38" s="465"/>
      <c r="I38" s="466"/>
      <c r="J38" s="433" t="str">
        <f>IF(AND('1. Mapa de Riesgos'!$J$14="Muy Baja",'1. Mapa de Riesgos'!$N$14="Leve"),CONCATENATE("R",'1. Mapa de Riesgos'!$B$14),"")</f>
        <v/>
      </c>
      <c r="K38" s="434"/>
      <c r="L38" s="434" t="str">
        <f>IF(AND('1. Mapa de Riesgos'!$J$32="Muy Baja",'1. Mapa de Riesgos'!$N$32="Leve"),CONCATENATE("R",'1. Mapa de Riesgos'!$B$32),"")</f>
        <v/>
      </c>
      <c r="M38" s="434"/>
      <c r="N38" s="434" t="str">
        <f>IF(AND('1. Mapa de Riesgos'!$J$38="Muy Baja",'1. Mapa de Riesgos'!$N$38="Leve"),CONCATENATE("R",'1. Mapa de Riesgos'!$B$38),"")</f>
        <v>R5</v>
      </c>
      <c r="O38" s="435"/>
      <c r="P38" s="433" t="str">
        <f>IF(AND('1. Mapa de Riesgos'!$J$14="Muy Baja",'1. Mapa de Riesgos'!$N$14="Menor"),CONCATENATE("R",'1. Mapa de Riesgos'!$B$14),"")</f>
        <v/>
      </c>
      <c r="Q38" s="434"/>
      <c r="R38" s="434" t="str">
        <f>IF(AND('1. Mapa de Riesgos'!$J$32="Muy Baja",'1. Mapa de Riesgos'!$N$32="Menor"),CONCATENATE("R",'1. Mapa de Riesgos'!$B$32),"")</f>
        <v/>
      </c>
      <c r="S38" s="434"/>
      <c r="T38" s="434" t="str">
        <f>IF(AND('1. Mapa de Riesgos'!$J$38="Muy Baja",'1. Mapa de Riesgos'!$N$38="Menor"),CONCATENATE("R",'1. Mapa de Riesgos'!$B$38),"")</f>
        <v/>
      </c>
      <c r="U38" s="435"/>
      <c r="V38" s="442" t="str">
        <f>IF(AND('1. Mapa de Riesgos'!$J$14="Muy Baja",'1. Mapa de Riesgos'!$N$14="Moderado"),CONCATENATE("R",'1. Mapa de Riesgos'!$B$14),"")</f>
        <v/>
      </c>
      <c r="W38" s="443"/>
      <c r="X38" s="443" t="str">
        <f>IF(AND('1. Mapa de Riesgos'!$J$32="Muy Baja",'1. Mapa de Riesgos'!$N$32="Moderado"),CONCATENATE("R",'1. Mapa de Riesgos'!$B$32),"")</f>
        <v/>
      </c>
      <c r="Y38" s="443"/>
      <c r="Z38" s="443" t="str">
        <f>IF(AND('1. Mapa de Riesgos'!$J$38="Muy Baja",'1. Mapa de Riesgos'!$N$38="Moderado"),CONCATENATE("R",'1. Mapa de Riesgos'!$B$38),"")</f>
        <v/>
      </c>
      <c r="AA38" s="444"/>
      <c r="AB38" s="460" t="str">
        <f>IF(AND('1. Mapa de Riesgos'!$J$14="Muy Baja",'1. Mapa de Riesgos'!$N$14="Mayor"),CONCATENATE("R",'1. Mapa de Riesgos'!$B$14),"")</f>
        <v>R1</v>
      </c>
      <c r="AC38" s="461"/>
      <c r="AD38" s="461" t="str">
        <f>IF(AND('1. Mapa de Riesgos'!$J$32="Muy Baja",'1. Mapa de Riesgos'!$N$32="Mayor"),CONCATENATE("R",'1. Mapa de Riesgos'!$B$32),"")</f>
        <v>R4</v>
      </c>
      <c r="AE38" s="461"/>
      <c r="AF38" s="461" t="str">
        <f>IF(AND('1. Mapa de Riesgos'!$J$38="Muy Baja",'1. Mapa de Riesgos'!$N$38="Mayor"),CONCATENATE("R",'1. Mapa de Riesgos'!$B$38),"")</f>
        <v/>
      </c>
      <c r="AG38" s="462"/>
      <c r="AH38" s="451" t="str">
        <f>IF(AND('1. Mapa de Riesgos'!$J$14="Muy Baja",'1. Mapa de Riesgos'!$N$14="Catastrófico"),CONCATENATE("R",'1. Mapa de Riesgos'!$B$14),"")</f>
        <v/>
      </c>
      <c r="AI38" s="452"/>
      <c r="AJ38" s="452" t="str">
        <f>IF(AND('1. Mapa de Riesgos'!$J$32="Muy Baja",'1. Mapa de Riesgos'!$N$32="Catastrófico"),CONCATENATE("R",'1. Mapa de Riesgos'!$B$32),"")</f>
        <v/>
      </c>
      <c r="AK38" s="452"/>
      <c r="AL38" s="452" t="str">
        <f>IF(AND('1. Mapa de Riesgos'!$J$38="Muy Baja",'1. Mapa de Riesgos'!$N$38="Catastrófico"),CONCATENATE("R",'1. Mapa de Riesgos'!$B$38),"")</f>
        <v/>
      </c>
      <c r="AM38" s="453"/>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c r="BY38" s="41"/>
      <c r="BZ38" s="41"/>
      <c r="CA38" s="41"/>
      <c r="CB38" s="41"/>
    </row>
    <row r="39" spans="1:80" x14ac:dyDescent="0.25">
      <c r="A39" s="41"/>
      <c r="B39" s="474"/>
      <c r="C39" s="474"/>
      <c r="D39" s="475"/>
      <c r="E39" s="467"/>
      <c r="F39" s="468"/>
      <c r="G39" s="468"/>
      <c r="H39" s="468"/>
      <c r="I39" s="469"/>
      <c r="J39" s="427"/>
      <c r="K39" s="428"/>
      <c r="L39" s="428"/>
      <c r="M39" s="428"/>
      <c r="N39" s="428"/>
      <c r="O39" s="429"/>
      <c r="P39" s="427"/>
      <c r="Q39" s="428"/>
      <c r="R39" s="428"/>
      <c r="S39" s="428"/>
      <c r="T39" s="428"/>
      <c r="U39" s="429"/>
      <c r="V39" s="436"/>
      <c r="W39" s="437"/>
      <c r="X39" s="437"/>
      <c r="Y39" s="437"/>
      <c r="Z39" s="437"/>
      <c r="AA39" s="438"/>
      <c r="AB39" s="454"/>
      <c r="AC39" s="455"/>
      <c r="AD39" s="455"/>
      <c r="AE39" s="455"/>
      <c r="AF39" s="455"/>
      <c r="AG39" s="456"/>
      <c r="AH39" s="445"/>
      <c r="AI39" s="446"/>
      <c r="AJ39" s="446"/>
      <c r="AK39" s="446"/>
      <c r="AL39" s="446"/>
      <c r="AM39" s="447"/>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c r="BY39" s="41"/>
      <c r="BZ39" s="41"/>
      <c r="CA39" s="41"/>
      <c r="CB39" s="41"/>
    </row>
    <row r="40" spans="1:80" x14ac:dyDescent="0.25">
      <c r="A40" s="41"/>
      <c r="B40" s="474"/>
      <c r="C40" s="474"/>
      <c r="D40" s="475"/>
      <c r="E40" s="467"/>
      <c r="F40" s="468"/>
      <c r="G40" s="468"/>
      <c r="H40" s="468"/>
      <c r="I40" s="469"/>
      <c r="J40" s="427" t="str">
        <f>IF(AND('1. Mapa de Riesgos'!$J$50="Muy Baja",'1. Mapa de Riesgos'!$N$50="Leve"),CONCATENATE("R",'1. Mapa de Riesgos'!$B$50),"")</f>
        <v>R7</v>
      </c>
      <c r="K40" s="428"/>
      <c r="L40" s="428" t="e">
        <f>IF(AND('1. Mapa de Riesgos'!#REF!="Muy Baja",'1. Mapa de Riesgos'!#REF!="Leve"),CONCATENATE("R",'1. Mapa de Riesgos'!#REF!),"")</f>
        <v>#REF!</v>
      </c>
      <c r="M40" s="428"/>
      <c r="N40" s="428" t="str">
        <f>IF(AND('1. Mapa de Riesgos'!$J$56="Muy Baja",'1. Mapa de Riesgos'!$N$56="Leve"),CONCATENATE("R",'1. Mapa de Riesgos'!$B$56),"")</f>
        <v/>
      </c>
      <c r="O40" s="429"/>
      <c r="P40" s="427" t="str">
        <f>IF(AND('1. Mapa de Riesgos'!$J$50="Muy Baja",'1. Mapa de Riesgos'!$N$50="Menor"),CONCATENATE("R",'1. Mapa de Riesgos'!$B$50),"")</f>
        <v/>
      </c>
      <c r="Q40" s="428"/>
      <c r="R40" s="428" t="e">
        <f>IF(AND('1. Mapa de Riesgos'!#REF!="Muy Baja",'1. Mapa de Riesgos'!#REF!="Menor"),CONCATENATE("R",'1. Mapa de Riesgos'!#REF!),"")</f>
        <v>#REF!</v>
      </c>
      <c r="S40" s="428"/>
      <c r="T40" s="428" t="str">
        <f>IF(AND('1. Mapa de Riesgos'!$J$56="Muy Baja",'1. Mapa de Riesgos'!$N$56="Menor"),CONCATENATE("R",'1. Mapa de Riesgos'!$B$56),"")</f>
        <v>R8</v>
      </c>
      <c r="U40" s="429"/>
      <c r="V40" s="436" t="str">
        <f>IF(AND('1. Mapa de Riesgos'!$J$50="Muy Baja",'1. Mapa de Riesgos'!$N$50="Moderado"),CONCATENATE("R",'1. Mapa de Riesgos'!$B$50),"")</f>
        <v/>
      </c>
      <c r="W40" s="437"/>
      <c r="X40" s="437" t="e">
        <f>IF(AND('1. Mapa de Riesgos'!#REF!="Muy Baja",'1. Mapa de Riesgos'!#REF!="Moderado"),CONCATENATE("R",'1. Mapa de Riesgos'!#REF!),"")</f>
        <v>#REF!</v>
      </c>
      <c r="Y40" s="437"/>
      <c r="Z40" s="437" t="str">
        <f>IF(AND('1. Mapa de Riesgos'!$J$56="Muy Baja",'1. Mapa de Riesgos'!$N$56="Moderado"),CONCATENATE("R",'1. Mapa de Riesgos'!$B$56),"")</f>
        <v/>
      </c>
      <c r="AA40" s="438"/>
      <c r="AB40" s="454" t="str">
        <f>IF(AND('1. Mapa de Riesgos'!$J$50="Muy Baja",'1. Mapa de Riesgos'!$N$50="Mayor"),CONCATENATE("R",'1. Mapa de Riesgos'!$B$50),"")</f>
        <v/>
      </c>
      <c r="AC40" s="455"/>
      <c r="AD40" s="455" t="e">
        <f>IF(AND('1. Mapa de Riesgos'!#REF!="Muy Baja",'1. Mapa de Riesgos'!#REF!="Mayor"),CONCATENATE("R",'1. Mapa de Riesgos'!#REF!),"")</f>
        <v>#REF!</v>
      </c>
      <c r="AE40" s="455"/>
      <c r="AF40" s="455" t="str">
        <f>IF(AND('1. Mapa de Riesgos'!$J$56="Muy Baja",'1. Mapa de Riesgos'!$N$56="Mayor"),CONCATENATE("R",'1. Mapa de Riesgos'!$B$56),"")</f>
        <v/>
      </c>
      <c r="AG40" s="456"/>
      <c r="AH40" s="445" t="str">
        <f>IF(AND('1. Mapa de Riesgos'!$J$50="Muy Baja",'1. Mapa de Riesgos'!$N$50="Catastrófico"),CONCATENATE("R",'1. Mapa de Riesgos'!$B$50),"")</f>
        <v/>
      </c>
      <c r="AI40" s="446"/>
      <c r="AJ40" s="446" t="e">
        <f>IF(AND('1. Mapa de Riesgos'!#REF!="Muy Baja",'1. Mapa de Riesgos'!#REF!="Catastrófico"),CONCATENATE("R",'1. Mapa de Riesgos'!#REF!),"")</f>
        <v>#REF!</v>
      </c>
      <c r="AK40" s="446"/>
      <c r="AL40" s="446" t="str">
        <f>IF(AND('1. Mapa de Riesgos'!$J$56="Muy Baja",'1. Mapa de Riesgos'!$N$56="Catastrófico"),CONCATENATE("R",'1. Mapa de Riesgos'!$B$56),"")</f>
        <v/>
      </c>
      <c r="AM40" s="447"/>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41"/>
      <c r="CA40" s="41"/>
      <c r="CB40" s="41"/>
    </row>
    <row r="41" spans="1:80" x14ac:dyDescent="0.25">
      <c r="A41" s="41"/>
      <c r="B41" s="474"/>
      <c r="C41" s="474"/>
      <c r="D41" s="475"/>
      <c r="E41" s="467"/>
      <c r="F41" s="468"/>
      <c r="G41" s="468"/>
      <c r="H41" s="468"/>
      <c r="I41" s="469"/>
      <c r="J41" s="427"/>
      <c r="K41" s="428"/>
      <c r="L41" s="428"/>
      <c r="M41" s="428"/>
      <c r="N41" s="428"/>
      <c r="O41" s="429"/>
      <c r="P41" s="427"/>
      <c r="Q41" s="428"/>
      <c r="R41" s="428"/>
      <c r="S41" s="428"/>
      <c r="T41" s="428"/>
      <c r="U41" s="429"/>
      <c r="V41" s="436"/>
      <c r="W41" s="437"/>
      <c r="X41" s="437"/>
      <c r="Y41" s="437"/>
      <c r="Z41" s="437"/>
      <c r="AA41" s="438"/>
      <c r="AB41" s="454"/>
      <c r="AC41" s="455"/>
      <c r="AD41" s="455"/>
      <c r="AE41" s="455"/>
      <c r="AF41" s="455"/>
      <c r="AG41" s="456"/>
      <c r="AH41" s="445"/>
      <c r="AI41" s="446"/>
      <c r="AJ41" s="446"/>
      <c r="AK41" s="446"/>
      <c r="AL41" s="446"/>
      <c r="AM41" s="447"/>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c r="BY41" s="41"/>
      <c r="BZ41" s="41"/>
      <c r="CA41" s="41"/>
      <c r="CB41" s="41"/>
    </row>
    <row r="42" spans="1:80" x14ac:dyDescent="0.25">
      <c r="A42" s="41"/>
      <c r="B42" s="474"/>
      <c r="C42" s="474"/>
      <c r="D42" s="475"/>
      <c r="E42" s="467"/>
      <c r="F42" s="468"/>
      <c r="G42" s="468"/>
      <c r="H42" s="468"/>
      <c r="I42" s="469"/>
      <c r="J42" s="427" t="str">
        <f>IF(AND('1. Mapa de Riesgos'!$J$26="Muy Baja",'1. Mapa de Riesgos'!$N$26="Leve"),CONCATENATE("R",'1. Mapa de Riesgos'!$B$26),"")</f>
        <v/>
      </c>
      <c r="K42" s="428"/>
      <c r="L42" s="428" t="str">
        <f>IF(AND('1. Mapa de Riesgos'!$J$20="Muy Baja",'1. Mapa de Riesgos'!$N$20="Leve"),CONCATENATE("R",'1. Mapa de Riesgos'!$B$20),"")</f>
        <v/>
      </c>
      <c r="M42" s="428"/>
      <c r="N42" s="428" t="str">
        <f>IF(AND('1. Mapa de Riesgos'!$J$62="Muy Baja",'1. Mapa de Riesgos'!$N$62="Leve"),CONCATENATE("R",'1. Mapa de Riesgos'!$B$62),"")</f>
        <v>R9</v>
      </c>
      <c r="O42" s="429"/>
      <c r="P42" s="427" t="str">
        <f>IF(AND('1. Mapa de Riesgos'!$J$26="Muy Baja",'1. Mapa de Riesgos'!$N$26="Menor"),CONCATENATE("R",'1. Mapa de Riesgos'!$B$26),"")</f>
        <v/>
      </c>
      <c r="Q42" s="428"/>
      <c r="R42" s="428" t="str">
        <f>IF(AND('1. Mapa de Riesgos'!$J$20="Muy Baja",'1. Mapa de Riesgos'!$N$20="Menor"),CONCATENATE("R",'1. Mapa de Riesgos'!$B$20),"")</f>
        <v/>
      </c>
      <c r="S42" s="428"/>
      <c r="T42" s="428" t="str">
        <f>IF(AND('1. Mapa de Riesgos'!$J$62="Muy Baja",'1. Mapa de Riesgos'!$N$62="Menor"),CONCATENATE("R",'1. Mapa de Riesgos'!$B$62),"")</f>
        <v/>
      </c>
      <c r="U42" s="429"/>
      <c r="V42" s="436" t="str">
        <f>IF(AND('1. Mapa de Riesgos'!$J$26="Muy Baja",'1. Mapa de Riesgos'!$N$26="Moderado"),CONCATENATE("R",'1. Mapa de Riesgos'!$B$26),"")</f>
        <v/>
      </c>
      <c r="W42" s="437"/>
      <c r="X42" s="437" t="str">
        <f>IF(AND('1. Mapa de Riesgos'!$J$20="Muy Baja",'1. Mapa de Riesgos'!$N$20="Moderado"),CONCATENATE("R",'1. Mapa de Riesgos'!$B$20),"")</f>
        <v/>
      </c>
      <c r="Y42" s="437"/>
      <c r="Z42" s="437" t="str">
        <f>IF(AND('1. Mapa de Riesgos'!$J$62="Muy Baja",'1. Mapa de Riesgos'!$N$62="Moderado"),CONCATENATE("R",'1. Mapa de Riesgos'!$B$62),"")</f>
        <v/>
      </c>
      <c r="AA42" s="438"/>
      <c r="AB42" s="454" t="str">
        <f>IF(AND('1. Mapa de Riesgos'!$J$26="Muy Baja",'1. Mapa de Riesgos'!$N$26="Mayor"),CONCATENATE("R",'1. Mapa de Riesgos'!$B$26),"")</f>
        <v/>
      </c>
      <c r="AC42" s="455"/>
      <c r="AD42" s="455" t="str">
        <f>IF(AND('1. Mapa de Riesgos'!$J$20="Muy Baja",'1. Mapa de Riesgos'!$N$20="Mayor"),CONCATENATE("R",'1. Mapa de Riesgos'!$B$20),"")</f>
        <v/>
      </c>
      <c r="AE42" s="455"/>
      <c r="AF42" s="455" t="str">
        <f>IF(AND('1. Mapa de Riesgos'!$J$62="Muy Baja",'1. Mapa de Riesgos'!$N$62="Mayor"),CONCATENATE("R",'1. Mapa de Riesgos'!$B$62),"")</f>
        <v/>
      </c>
      <c r="AG42" s="456"/>
      <c r="AH42" s="445" t="str">
        <f>IF(AND('1. Mapa de Riesgos'!$J$26="Muy Baja",'1. Mapa de Riesgos'!$N$26="Catastrófico"),CONCATENATE("R",'1. Mapa de Riesgos'!$B$26),"")</f>
        <v/>
      </c>
      <c r="AI42" s="446"/>
      <c r="AJ42" s="446" t="str">
        <f>IF(AND('1. Mapa de Riesgos'!$J$20="Muy Baja",'1. Mapa de Riesgos'!$N$20="Catastrófico"),CONCATENATE("R",'1. Mapa de Riesgos'!$B$20),"")</f>
        <v/>
      </c>
      <c r="AK42" s="446"/>
      <c r="AL42" s="446" t="str">
        <f>IF(AND('1. Mapa de Riesgos'!$J$62="Muy Baja",'1. Mapa de Riesgos'!$N$62="Catastrófico"),CONCATENATE("R",'1. Mapa de Riesgos'!$B$62),"")</f>
        <v/>
      </c>
      <c r="AM42" s="447"/>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row>
    <row r="43" spans="1:80" x14ac:dyDescent="0.25">
      <c r="A43" s="41"/>
      <c r="B43" s="474"/>
      <c r="C43" s="474"/>
      <c r="D43" s="475"/>
      <c r="E43" s="467"/>
      <c r="F43" s="468"/>
      <c r="G43" s="468"/>
      <c r="H43" s="468"/>
      <c r="I43" s="469"/>
      <c r="J43" s="427"/>
      <c r="K43" s="428"/>
      <c r="L43" s="428"/>
      <c r="M43" s="428"/>
      <c r="N43" s="428"/>
      <c r="O43" s="429"/>
      <c r="P43" s="427"/>
      <c r="Q43" s="428"/>
      <c r="R43" s="428"/>
      <c r="S43" s="428"/>
      <c r="T43" s="428"/>
      <c r="U43" s="429"/>
      <c r="V43" s="436"/>
      <c r="W43" s="437"/>
      <c r="X43" s="437"/>
      <c r="Y43" s="437"/>
      <c r="Z43" s="437"/>
      <c r="AA43" s="438"/>
      <c r="AB43" s="454"/>
      <c r="AC43" s="455"/>
      <c r="AD43" s="455"/>
      <c r="AE43" s="455"/>
      <c r="AF43" s="455"/>
      <c r="AG43" s="456"/>
      <c r="AH43" s="445"/>
      <c r="AI43" s="446"/>
      <c r="AJ43" s="446"/>
      <c r="AK43" s="446"/>
      <c r="AL43" s="446"/>
      <c r="AM43" s="447"/>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row>
    <row r="44" spans="1:80" x14ac:dyDescent="0.25">
      <c r="A44" s="41"/>
      <c r="B44" s="474"/>
      <c r="C44" s="474"/>
      <c r="D44" s="475"/>
      <c r="E44" s="467"/>
      <c r="F44" s="468"/>
      <c r="G44" s="468"/>
      <c r="H44" s="468"/>
      <c r="I44" s="469"/>
      <c r="J44" s="427" t="str">
        <f>IF(AND('1. Mapa de Riesgos'!$J$68="Muy Baja",'1. Mapa de Riesgos'!$N$68="Leve"),CONCATENATE("R",'1. Mapa de Riesgos'!$B$68),"")</f>
        <v/>
      </c>
      <c r="K44" s="428"/>
      <c r="L44" s="428" t="str">
        <f>IF(AND('1. Mapa de Riesgos'!$J$86="Muy Baja",'1. Mapa de Riesgos'!$N$86="Leve"),CONCATENATE("R",'1. Mapa de Riesgos'!#REF!),"")</f>
        <v/>
      </c>
      <c r="M44" s="428"/>
      <c r="N44" s="428" t="e">
        <f>IF(AND('1. Mapa de Riesgos'!#REF!="Muy Baja",'1. Mapa de Riesgos'!#REF!="Leve"),CONCATENATE("R",'1. Mapa de Riesgos'!#REF!),"")</f>
        <v>#REF!</v>
      </c>
      <c r="O44" s="429"/>
      <c r="P44" s="427" t="str">
        <f>IF(AND('1. Mapa de Riesgos'!$J$68="Muy Baja",'1. Mapa de Riesgos'!$N$68="Menor"),CONCATENATE("R",'1. Mapa de Riesgos'!$B$68),"")</f>
        <v/>
      </c>
      <c r="Q44" s="428"/>
      <c r="R44" s="428" t="str">
        <f>IF(AND('1. Mapa de Riesgos'!$J$86="Muy Baja",'1. Mapa de Riesgos'!$N$86="Menor"),CONCATENATE("R",'1. Mapa de Riesgos'!#REF!),"")</f>
        <v/>
      </c>
      <c r="S44" s="428"/>
      <c r="T44" s="428" t="e">
        <f>IF(AND('1. Mapa de Riesgos'!#REF!="Muy Baja",'1. Mapa de Riesgos'!#REF!="Menor"),CONCATENATE("R",'1. Mapa de Riesgos'!#REF!),"")</f>
        <v>#REF!</v>
      </c>
      <c r="U44" s="429"/>
      <c r="V44" s="436" t="str">
        <f>IF(AND('1. Mapa de Riesgos'!$J$68="Muy Baja",'1. Mapa de Riesgos'!$N$68="Moderado"),CONCATENATE("R",'1. Mapa de Riesgos'!$B$68),"")</f>
        <v/>
      </c>
      <c r="W44" s="437"/>
      <c r="X44" s="437" t="str">
        <f>IF(AND('1. Mapa de Riesgos'!$J$86="Muy Baja",'1. Mapa de Riesgos'!$N$86="Moderado"),CONCATENATE("R",'1. Mapa de Riesgos'!#REF!),"")</f>
        <v/>
      </c>
      <c r="Y44" s="437"/>
      <c r="Z44" s="437" t="e">
        <f>IF(AND('1. Mapa de Riesgos'!#REF!="Muy Baja",'1. Mapa de Riesgos'!#REF!="Moderado"),CONCATENATE("R",'1. Mapa de Riesgos'!#REF!),"")</f>
        <v>#REF!</v>
      </c>
      <c r="AA44" s="438"/>
      <c r="AB44" s="454" t="str">
        <f>IF(AND('1. Mapa de Riesgos'!$J$68="Muy Baja",'1. Mapa de Riesgos'!$N$68="Mayor"),CONCATENATE("R",'1. Mapa de Riesgos'!$B$68),"")</f>
        <v/>
      </c>
      <c r="AC44" s="455"/>
      <c r="AD44" s="455" t="str">
        <f>IF(AND('1. Mapa de Riesgos'!$J$86="Muy Baja",'1. Mapa de Riesgos'!$N$86="Mayor"),CONCATENATE("R",'1. Mapa de Riesgos'!#REF!),"")</f>
        <v/>
      </c>
      <c r="AE44" s="455"/>
      <c r="AF44" s="455" t="e">
        <f>IF(AND('1. Mapa de Riesgos'!#REF!="Muy Baja",'1. Mapa de Riesgos'!#REF!="Mayor"),CONCATENATE("R",'1. Mapa de Riesgos'!#REF!),"")</f>
        <v>#REF!</v>
      </c>
      <c r="AG44" s="456"/>
      <c r="AH44" s="445" t="str">
        <f>IF(AND('1. Mapa de Riesgos'!$J$68="Muy Baja",'1. Mapa de Riesgos'!$N$68="Catastrófico"),CONCATENATE("R",'1. Mapa de Riesgos'!$B$68),"")</f>
        <v/>
      </c>
      <c r="AI44" s="446"/>
      <c r="AJ44" s="446" t="str">
        <f>IF(AND('1. Mapa de Riesgos'!$J$86="Muy Baja",'1. Mapa de Riesgos'!$N$86="Catastrófico"),CONCATENATE("R",'1. Mapa de Riesgos'!#REF!),"")</f>
        <v/>
      </c>
      <c r="AK44" s="446"/>
      <c r="AL44" s="446" t="e">
        <f>IF(AND('1. Mapa de Riesgos'!#REF!="Muy Baja",'1. Mapa de Riesgos'!#REF!="Catastrófico"),CONCATENATE("R",'1. Mapa de Riesgos'!#REF!),"")</f>
        <v>#REF!</v>
      </c>
      <c r="AM44" s="447"/>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c r="BY44" s="41"/>
      <c r="BZ44" s="41"/>
      <c r="CA44" s="41"/>
      <c r="CB44" s="41"/>
    </row>
    <row r="45" spans="1:80" ht="15.75" thickBot="1" x14ac:dyDescent="0.3">
      <c r="A45" s="41"/>
      <c r="B45" s="474"/>
      <c r="C45" s="474"/>
      <c r="D45" s="475"/>
      <c r="E45" s="470"/>
      <c r="F45" s="471"/>
      <c r="G45" s="471"/>
      <c r="H45" s="471"/>
      <c r="I45" s="472"/>
      <c r="J45" s="430"/>
      <c r="K45" s="431"/>
      <c r="L45" s="431"/>
      <c r="M45" s="431"/>
      <c r="N45" s="431"/>
      <c r="O45" s="432"/>
      <c r="P45" s="430"/>
      <c r="Q45" s="431"/>
      <c r="R45" s="431"/>
      <c r="S45" s="431"/>
      <c r="T45" s="431"/>
      <c r="U45" s="432"/>
      <c r="V45" s="439"/>
      <c r="W45" s="440"/>
      <c r="X45" s="440"/>
      <c r="Y45" s="440"/>
      <c r="Z45" s="440"/>
      <c r="AA45" s="441"/>
      <c r="AB45" s="457"/>
      <c r="AC45" s="458"/>
      <c r="AD45" s="458"/>
      <c r="AE45" s="458"/>
      <c r="AF45" s="458"/>
      <c r="AG45" s="459"/>
      <c r="AH45" s="448"/>
      <c r="AI45" s="449"/>
      <c r="AJ45" s="449"/>
      <c r="AK45" s="449"/>
      <c r="AL45" s="449"/>
      <c r="AM45" s="450"/>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1"/>
      <c r="BR45" s="41"/>
      <c r="BS45" s="41"/>
      <c r="BT45" s="41"/>
      <c r="BU45" s="41"/>
      <c r="BV45" s="41"/>
      <c r="BW45" s="41"/>
      <c r="BX45" s="41"/>
      <c r="BY45" s="41"/>
      <c r="BZ45" s="41"/>
      <c r="CA45" s="41"/>
      <c r="CB45" s="41"/>
    </row>
    <row r="46" spans="1:80" x14ac:dyDescent="0.25">
      <c r="A46" s="41"/>
      <c r="B46" s="41"/>
      <c r="C46" s="41"/>
      <c r="D46" s="41"/>
      <c r="E46" s="41"/>
      <c r="F46" s="41"/>
      <c r="G46" s="41"/>
      <c r="H46" s="41"/>
      <c r="I46" s="41"/>
      <c r="J46" s="464" t="s">
        <v>120</v>
      </c>
      <c r="K46" s="465"/>
      <c r="L46" s="465"/>
      <c r="M46" s="465"/>
      <c r="N46" s="465"/>
      <c r="O46" s="466"/>
      <c r="P46" s="464" t="s">
        <v>121</v>
      </c>
      <c r="Q46" s="465"/>
      <c r="R46" s="465"/>
      <c r="S46" s="465"/>
      <c r="T46" s="465"/>
      <c r="U46" s="466"/>
      <c r="V46" s="464" t="s">
        <v>122</v>
      </c>
      <c r="W46" s="465"/>
      <c r="X46" s="465"/>
      <c r="Y46" s="465"/>
      <c r="Z46" s="465"/>
      <c r="AA46" s="466"/>
      <c r="AB46" s="464" t="s">
        <v>123</v>
      </c>
      <c r="AC46" s="473"/>
      <c r="AD46" s="465"/>
      <c r="AE46" s="465"/>
      <c r="AF46" s="465"/>
      <c r="AG46" s="466"/>
      <c r="AH46" s="464" t="s">
        <v>124</v>
      </c>
      <c r="AI46" s="465"/>
      <c r="AJ46" s="465"/>
      <c r="AK46" s="465"/>
      <c r="AL46" s="465"/>
      <c r="AM46" s="466"/>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row>
    <row r="47" spans="1:80" x14ac:dyDescent="0.25">
      <c r="A47" s="41"/>
      <c r="B47" s="41"/>
      <c r="C47" s="41"/>
      <c r="D47" s="41"/>
      <c r="E47" s="41"/>
      <c r="F47" s="41"/>
      <c r="G47" s="41"/>
      <c r="H47" s="41"/>
      <c r="I47" s="41"/>
      <c r="J47" s="467"/>
      <c r="K47" s="468"/>
      <c r="L47" s="468"/>
      <c r="M47" s="468"/>
      <c r="N47" s="468"/>
      <c r="O47" s="469"/>
      <c r="P47" s="467"/>
      <c r="Q47" s="468"/>
      <c r="R47" s="468"/>
      <c r="S47" s="468"/>
      <c r="T47" s="468"/>
      <c r="U47" s="469"/>
      <c r="V47" s="467"/>
      <c r="W47" s="468"/>
      <c r="X47" s="468"/>
      <c r="Y47" s="468"/>
      <c r="Z47" s="468"/>
      <c r="AA47" s="469"/>
      <c r="AB47" s="467"/>
      <c r="AC47" s="468"/>
      <c r="AD47" s="468"/>
      <c r="AE47" s="468"/>
      <c r="AF47" s="468"/>
      <c r="AG47" s="469"/>
      <c r="AH47" s="467"/>
      <c r="AI47" s="468"/>
      <c r="AJ47" s="468"/>
      <c r="AK47" s="468"/>
      <c r="AL47" s="468"/>
      <c r="AM47" s="469"/>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row>
    <row r="48" spans="1:80" x14ac:dyDescent="0.25">
      <c r="A48" s="41"/>
      <c r="B48" s="41"/>
      <c r="C48" s="41"/>
      <c r="D48" s="41"/>
      <c r="E48" s="41"/>
      <c r="F48" s="41"/>
      <c r="G48" s="41"/>
      <c r="H48" s="41"/>
      <c r="I48" s="41"/>
      <c r="J48" s="467"/>
      <c r="K48" s="468"/>
      <c r="L48" s="468"/>
      <c r="M48" s="468"/>
      <c r="N48" s="468"/>
      <c r="O48" s="469"/>
      <c r="P48" s="467"/>
      <c r="Q48" s="468"/>
      <c r="R48" s="468"/>
      <c r="S48" s="468"/>
      <c r="T48" s="468"/>
      <c r="U48" s="469"/>
      <c r="V48" s="467"/>
      <c r="W48" s="468"/>
      <c r="X48" s="468"/>
      <c r="Y48" s="468"/>
      <c r="Z48" s="468"/>
      <c r="AA48" s="469"/>
      <c r="AB48" s="467"/>
      <c r="AC48" s="468"/>
      <c r="AD48" s="468"/>
      <c r="AE48" s="468"/>
      <c r="AF48" s="468"/>
      <c r="AG48" s="469"/>
      <c r="AH48" s="467"/>
      <c r="AI48" s="468"/>
      <c r="AJ48" s="468"/>
      <c r="AK48" s="468"/>
      <c r="AL48" s="468"/>
      <c r="AM48" s="469"/>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row>
    <row r="49" spans="1:80" x14ac:dyDescent="0.25">
      <c r="A49" s="41"/>
      <c r="B49" s="41"/>
      <c r="C49" s="41"/>
      <c r="D49" s="41"/>
      <c r="E49" s="41"/>
      <c r="F49" s="41"/>
      <c r="G49" s="41"/>
      <c r="H49" s="41"/>
      <c r="I49" s="41"/>
      <c r="J49" s="467"/>
      <c r="K49" s="468"/>
      <c r="L49" s="468"/>
      <c r="M49" s="468"/>
      <c r="N49" s="468"/>
      <c r="O49" s="469"/>
      <c r="P49" s="467"/>
      <c r="Q49" s="468"/>
      <c r="R49" s="468"/>
      <c r="S49" s="468"/>
      <c r="T49" s="468"/>
      <c r="U49" s="469"/>
      <c r="V49" s="467"/>
      <c r="W49" s="468"/>
      <c r="X49" s="468"/>
      <c r="Y49" s="468"/>
      <c r="Z49" s="468"/>
      <c r="AA49" s="469"/>
      <c r="AB49" s="467"/>
      <c r="AC49" s="468"/>
      <c r="AD49" s="468"/>
      <c r="AE49" s="468"/>
      <c r="AF49" s="468"/>
      <c r="AG49" s="469"/>
      <c r="AH49" s="467"/>
      <c r="AI49" s="468"/>
      <c r="AJ49" s="468"/>
      <c r="AK49" s="468"/>
      <c r="AL49" s="468"/>
      <c r="AM49" s="469"/>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row>
    <row r="50" spans="1:80" x14ac:dyDescent="0.25">
      <c r="A50" s="41"/>
      <c r="B50" s="41"/>
      <c r="C50" s="41"/>
      <c r="D50" s="41"/>
      <c r="E50" s="41"/>
      <c r="F50" s="41"/>
      <c r="G50" s="41"/>
      <c r="H50" s="41"/>
      <c r="I50" s="41"/>
      <c r="J50" s="467"/>
      <c r="K50" s="468"/>
      <c r="L50" s="468"/>
      <c r="M50" s="468"/>
      <c r="N50" s="468"/>
      <c r="O50" s="469"/>
      <c r="P50" s="467"/>
      <c r="Q50" s="468"/>
      <c r="R50" s="468"/>
      <c r="S50" s="468"/>
      <c r="T50" s="468"/>
      <c r="U50" s="469"/>
      <c r="V50" s="467"/>
      <c r="W50" s="468"/>
      <c r="X50" s="468"/>
      <c r="Y50" s="468"/>
      <c r="Z50" s="468"/>
      <c r="AA50" s="469"/>
      <c r="AB50" s="467"/>
      <c r="AC50" s="468"/>
      <c r="AD50" s="468"/>
      <c r="AE50" s="468"/>
      <c r="AF50" s="468"/>
      <c r="AG50" s="469"/>
      <c r="AH50" s="467"/>
      <c r="AI50" s="468"/>
      <c r="AJ50" s="468"/>
      <c r="AK50" s="468"/>
      <c r="AL50" s="468"/>
      <c r="AM50" s="469"/>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row>
    <row r="51" spans="1:80" ht="15.75" thickBot="1" x14ac:dyDescent="0.3">
      <c r="A51" s="41"/>
      <c r="B51" s="41"/>
      <c r="C51" s="41"/>
      <c r="D51" s="41"/>
      <c r="E51" s="41"/>
      <c r="F51" s="41"/>
      <c r="G51" s="41"/>
      <c r="H51" s="41"/>
      <c r="I51" s="41"/>
      <c r="J51" s="470"/>
      <c r="K51" s="471"/>
      <c r="L51" s="471"/>
      <c r="M51" s="471"/>
      <c r="N51" s="471"/>
      <c r="O51" s="472"/>
      <c r="P51" s="470"/>
      <c r="Q51" s="471"/>
      <c r="R51" s="471"/>
      <c r="S51" s="471"/>
      <c r="T51" s="471"/>
      <c r="U51" s="472"/>
      <c r="V51" s="470"/>
      <c r="W51" s="471"/>
      <c r="X51" s="471"/>
      <c r="Y51" s="471"/>
      <c r="Z51" s="471"/>
      <c r="AA51" s="472"/>
      <c r="AB51" s="470"/>
      <c r="AC51" s="471"/>
      <c r="AD51" s="471"/>
      <c r="AE51" s="471"/>
      <c r="AF51" s="471"/>
      <c r="AG51" s="472"/>
      <c r="AH51" s="470"/>
      <c r="AI51" s="471"/>
      <c r="AJ51" s="471"/>
      <c r="AK51" s="471"/>
      <c r="AL51" s="471"/>
      <c r="AM51" s="472"/>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row>
    <row r="52" spans="1:80"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row>
    <row r="53" spans="1:80" ht="15" customHeight="1" x14ac:dyDescent="0.25">
      <c r="A53" s="41"/>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row>
    <row r="54" spans="1:80" ht="15" customHeight="1" x14ac:dyDescent="0.25">
      <c r="A54" s="41"/>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row>
    <row r="55" spans="1:80" x14ac:dyDescent="0.25">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row>
    <row r="56" spans="1:80" x14ac:dyDescent="0.25">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row>
    <row r="57" spans="1:80" x14ac:dyDescent="0.25">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row>
    <row r="58" spans="1:80" x14ac:dyDescent="0.25">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row>
    <row r="59" spans="1:80" x14ac:dyDescent="0.25">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row>
    <row r="60" spans="1:80" x14ac:dyDescent="0.2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row>
    <row r="61" spans="1:80" x14ac:dyDescent="0.25">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row>
    <row r="62" spans="1:80"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row>
    <row r="63" spans="1:80" x14ac:dyDescent="0.25">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row>
    <row r="64" spans="1:80" x14ac:dyDescent="0.25">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row>
    <row r="65" spans="1:80"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row>
    <row r="66" spans="1:80"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row>
    <row r="67" spans="1:80"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row>
    <row r="68" spans="1:80"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row>
    <row r="69" spans="1:80"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row>
    <row r="70" spans="1:80"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row>
    <row r="71" spans="1:80"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row>
    <row r="72" spans="1:80"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row>
    <row r="73" spans="1:80"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row>
    <row r="74" spans="1:80"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row>
    <row r="75" spans="1:80"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row>
    <row r="76" spans="1:80"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row>
    <row r="77" spans="1:80"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row>
    <row r="78" spans="1:80"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row>
    <row r="79" spans="1:80"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row>
    <row r="80" spans="1:80"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row>
    <row r="81" spans="1:63"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row>
    <row r="82" spans="1:63"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row>
    <row r="83" spans="1:63"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row>
    <row r="84" spans="1:63"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row>
    <row r="85" spans="1:63"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row>
    <row r="86" spans="1:63"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row>
    <row r="87" spans="1:63"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row>
    <row r="88" spans="1:63"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row>
    <row r="89" spans="1:63"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row>
    <row r="90" spans="1:63"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row>
    <row r="91" spans="1:63"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row>
    <row r="92" spans="1:63"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row>
    <row r="93" spans="1:63"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row>
    <row r="94" spans="1:63"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row>
    <row r="95" spans="1:63"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row>
    <row r="96" spans="1:63"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row>
    <row r="97" spans="1:63"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row>
    <row r="98" spans="1:63"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row>
    <row r="99" spans="1:63"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row>
    <row r="100" spans="1:63"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row>
    <row r="101" spans="1:63"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row>
    <row r="102" spans="1:63"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row>
    <row r="103" spans="1:63"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row>
    <row r="104" spans="1:63"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row>
    <row r="105" spans="1:63"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row>
    <row r="106" spans="1:63"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row>
    <row r="107" spans="1:63"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row>
    <row r="108" spans="1:63"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row>
    <row r="109" spans="1:63"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c r="BI109" s="41"/>
      <c r="BJ109" s="41"/>
      <c r="BK109" s="41"/>
    </row>
    <row r="110" spans="1:63"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row>
    <row r="111" spans="1:63"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row>
    <row r="112" spans="1:63"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c r="BI112" s="41"/>
      <c r="BJ112" s="41"/>
      <c r="BK112" s="41"/>
    </row>
    <row r="113" spans="1:63"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c r="BI113" s="41"/>
      <c r="BJ113" s="41"/>
      <c r="BK113" s="41"/>
    </row>
    <row r="114" spans="1:63"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c r="BI114" s="41"/>
      <c r="BJ114" s="41"/>
      <c r="BK114" s="41"/>
    </row>
    <row r="115" spans="1:63"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row>
    <row r="116" spans="1:63"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row>
    <row r="117" spans="1:63"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row>
    <row r="118" spans="1:63"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row>
    <row r="119" spans="1:63"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row>
    <row r="120" spans="1:63"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row>
    <row r="121" spans="1:63"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row>
    <row r="122" spans="1:63" x14ac:dyDescent="0.25">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row>
    <row r="123" spans="1:63" x14ac:dyDescent="0.25">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row>
    <row r="124" spans="1:63" x14ac:dyDescent="0.25">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row>
    <row r="125" spans="1:63" x14ac:dyDescent="0.25">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row>
    <row r="126" spans="1:63" x14ac:dyDescent="0.25">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row>
    <row r="127" spans="1:63" x14ac:dyDescent="0.25">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row>
    <row r="128" spans="1:63" x14ac:dyDescent="0.25">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row>
    <row r="129" spans="2:63" x14ac:dyDescent="0.25">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row>
    <row r="130" spans="2:63" x14ac:dyDescent="0.25">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row>
    <row r="131" spans="2:63" x14ac:dyDescent="0.25">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row>
    <row r="132" spans="2:63" x14ac:dyDescent="0.25">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row>
    <row r="133" spans="2:63" x14ac:dyDescent="0.25">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row>
    <row r="134" spans="2:63" x14ac:dyDescent="0.25">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row>
    <row r="135" spans="2:63" x14ac:dyDescent="0.25">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row>
    <row r="136" spans="2:63" x14ac:dyDescent="0.25">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row>
    <row r="137" spans="2:63" x14ac:dyDescent="0.25">
      <c r="B137" s="41"/>
      <c r="C137" s="41"/>
      <c r="D137" s="41"/>
      <c r="E137" s="41"/>
      <c r="F137" s="41"/>
      <c r="G137" s="41"/>
      <c r="H137" s="41"/>
      <c r="I137" s="41"/>
    </row>
    <row r="138" spans="2:63" x14ac:dyDescent="0.25">
      <c r="B138" s="41"/>
      <c r="C138" s="41"/>
      <c r="D138" s="41"/>
      <c r="E138" s="41"/>
      <c r="F138" s="41"/>
      <c r="G138" s="41"/>
      <c r="H138" s="41"/>
      <c r="I138" s="41"/>
    </row>
    <row r="139" spans="2:63" x14ac:dyDescent="0.25">
      <c r="B139" s="41"/>
      <c r="C139" s="41"/>
      <c r="D139" s="41"/>
      <c r="E139" s="41"/>
      <c r="F139" s="41"/>
      <c r="G139" s="41"/>
      <c r="H139" s="41"/>
      <c r="I139" s="41"/>
    </row>
    <row r="140" spans="2:63" x14ac:dyDescent="0.25">
      <c r="B140" s="41"/>
      <c r="C140" s="41"/>
      <c r="D140" s="41"/>
      <c r="E140" s="41"/>
      <c r="F140" s="41"/>
      <c r="G140" s="41"/>
      <c r="H140" s="41"/>
      <c r="I140" s="4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Q10" sqref="Q10"/>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row>
    <row r="2" spans="1:91" ht="18" customHeight="1" x14ac:dyDescent="0.25">
      <c r="A2" s="41"/>
      <c r="B2" s="541" t="s">
        <v>125</v>
      </c>
      <c r="C2" s="542"/>
      <c r="D2" s="542"/>
      <c r="E2" s="542"/>
      <c r="F2" s="542"/>
      <c r="G2" s="542"/>
      <c r="H2" s="542"/>
      <c r="I2" s="542"/>
      <c r="J2" s="463" t="s">
        <v>17</v>
      </c>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row>
    <row r="3" spans="1:91" ht="18.75" customHeight="1" x14ac:dyDescent="0.25">
      <c r="A3" s="41"/>
      <c r="B3" s="542"/>
      <c r="C3" s="542"/>
      <c r="D3" s="542"/>
      <c r="E3" s="542"/>
      <c r="F3" s="542"/>
      <c r="G3" s="542"/>
      <c r="H3" s="542"/>
      <c r="I3" s="542"/>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row>
    <row r="4" spans="1:91" ht="15" customHeight="1" x14ac:dyDescent="0.25">
      <c r="A4" s="41"/>
      <c r="B4" s="542"/>
      <c r="C4" s="542"/>
      <c r="D4" s="542"/>
      <c r="E4" s="542"/>
      <c r="F4" s="542"/>
      <c r="G4" s="542"/>
      <c r="H4" s="542"/>
      <c r="I4" s="542"/>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row>
    <row r="5" spans="1:91" ht="15.75" thickBot="1" x14ac:dyDescent="0.3">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row>
    <row r="6" spans="1:91" ht="15" customHeight="1" x14ac:dyDescent="0.25">
      <c r="A6" s="41"/>
      <c r="B6" s="474" t="s">
        <v>110</v>
      </c>
      <c r="C6" s="474"/>
      <c r="D6" s="475"/>
      <c r="E6" s="512" t="s">
        <v>111</v>
      </c>
      <c r="F6" s="513"/>
      <c r="G6" s="513"/>
      <c r="H6" s="513"/>
      <c r="I6" s="514"/>
      <c r="J6" s="4" t="str">
        <f>IF(AND('1. Mapa de Riesgos'!$AA$14="Muy Alta",'1. Mapa de Riesgos'!$AC$14="Leve"),CONCATENATE("R1C",'1. Mapa de Riesgos'!$Q$14),"")</f>
        <v/>
      </c>
      <c r="K6" s="5" t="str">
        <f>IF(AND('1. Mapa de Riesgos'!$AA$15="Muy Alta",'1. Mapa de Riesgos'!$AC$15="Leve"),CONCATENATE("R1C",'1. Mapa de Riesgos'!$Q$15),"")</f>
        <v/>
      </c>
      <c r="L6" s="5" t="str">
        <f>IF(AND('1. Mapa de Riesgos'!$AA$16="Muy Alta",'1. Mapa de Riesgos'!$AC$16="Leve"),CONCATENATE("R1C",'1. Mapa de Riesgos'!$Q$16),"")</f>
        <v/>
      </c>
      <c r="M6" s="5" t="str">
        <f>IF(AND('1. Mapa de Riesgos'!$AA$17="Muy Alta",'1. Mapa de Riesgos'!$AC$17="Leve"),CONCATENATE("R1C",'1. Mapa de Riesgos'!$Q$17),"")</f>
        <v/>
      </c>
      <c r="N6" s="5" t="str">
        <f>IF(AND('1. Mapa de Riesgos'!$AA$18="Muy Alta",'1. Mapa de Riesgos'!$AC$18="Leve"),CONCATENATE("R1C",'1. Mapa de Riesgos'!$Q$18),"")</f>
        <v/>
      </c>
      <c r="O6" s="6" t="str">
        <f>IF(AND('1. Mapa de Riesgos'!$AA$19="Muy Alta",'1. Mapa de Riesgos'!$AC$19="Leve"),CONCATENATE("R1C",'1. Mapa de Riesgos'!$Q$19),"")</f>
        <v/>
      </c>
      <c r="P6" s="4" t="str">
        <f>IF(AND('1. Mapa de Riesgos'!$AA$14="Muy Alta",'1. Mapa de Riesgos'!$AC$14="Menor"),CONCATENATE("R1C",'1. Mapa de Riesgos'!$Q$14),"")</f>
        <v/>
      </c>
      <c r="Q6" s="5" t="str">
        <f>IF(AND('1. Mapa de Riesgos'!$AA$15="Muy Alta",'1. Mapa de Riesgos'!$AC$15="Menor"),CONCATENATE("R1C",'1. Mapa de Riesgos'!$Q$15),"")</f>
        <v/>
      </c>
      <c r="R6" s="5" t="str">
        <f>IF(AND('1. Mapa de Riesgos'!$AA$16="Muy Alta",'1. Mapa de Riesgos'!$AC$16="Menor"),CONCATENATE("R1C",'1. Mapa de Riesgos'!$Q$16),"")</f>
        <v/>
      </c>
      <c r="S6" s="5" t="str">
        <f>IF(AND('1. Mapa de Riesgos'!$AA$17="Muy Alta",'1. Mapa de Riesgos'!$AC$17="Menor"),CONCATENATE("R1C",'1. Mapa de Riesgos'!$Q$17),"")</f>
        <v/>
      </c>
      <c r="T6" s="5" t="str">
        <f>IF(AND('1. Mapa de Riesgos'!$AA$18="Muy Alta",'1. Mapa de Riesgos'!$AC$18="Menor"),CONCATENATE("R1C",'1. Mapa de Riesgos'!$Q$18),"")</f>
        <v/>
      </c>
      <c r="U6" s="6" t="str">
        <f>IF(AND('1. Mapa de Riesgos'!$AA$19="Muy Alta",'1. Mapa de Riesgos'!$AC$19="Menor"),CONCATENATE("R1C",'1. Mapa de Riesgos'!$Q$19),"")</f>
        <v/>
      </c>
      <c r="V6" s="4" t="str">
        <f>IF(AND('1. Mapa de Riesgos'!$AA$14="Muy Alta",'1. Mapa de Riesgos'!$AC$14="Moderado"),CONCATENATE("R1C",'1. Mapa de Riesgos'!$Q$14),"")</f>
        <v/>
      </c>
      <c r="W6" s="5" t="str">
        <f>IF(AND('1. Mapa de Riesgos'!$AA$15="Muy Alta",'1. Mapa de Riesgos'!$AC$15="Moderado"),CONCATENATE("R1C",'1. Mapa de Riesgos'!$Q$15),"")</f>
        <v/>
      </c>
      <c r="X6" s="5" t="str">
        <f>IF(AND('1. Mapa de Riesgos'!$AA$16="Muy Alta",'1. Mapa de Riesgos'!$AC$16="Moderado"),CONCATENATE("R1C",'1. Mapa de Riesgos'!$Q$16),"")</f>
        <v/>
      </c>
      <c r="Y6" s="5" t="str">
        <f>IF(AND('1. Mapa de Riesgos'!$AA$17="Muy Alta",'1. Mapa de Riesgos'!$AC$17="Moderado"),CONCATENATE("R1C",'1. Mapa de Riesgos'!$Q$17),"")</f>
        <v/>
      </c>
      <c r="Z6" s="5" t="str">
        <f>IF(AND('1. Mapa de Riesgos'!$AA$18="Muy Alta",'1. Mapa de Riesgos'!$AC$18="Moderado"),CONCATENATE("R1C",'1. Mapa de Riesgos'!$Q$18),"")</f>
        <v/>
      </c>
      <c r="AA6" s="6" t="str">
        <f>IF(AND('1. Mapa de Riesgos'!$AA$19="Muy Alta",'1. Mapa de Riesgos'!$AC$19="Moderado"),CONCATENATE("R1C",'1. Mapa de Riesgos'!$Q$19),"")</f>
        <v/>
      </c>
      <c r="AB6" s="4" t="str">
        <f>IF(AND('1. Mapa de Riesgos'!$AA$14="Muy Alta",'1. Mapa de Riesgos'!$AC$14="Mayor"),CONCATENATE("R1C",'1. Mapa de Riesgos'!$Q$14),"")</f>
        <v/>
      </c>
      <c r="AC6" s="5" t="str">
        <f>IF(AND('1. Mapa de Riesgos'!$AA$15="Muy Alta",'1. Mapa de Riesgos'!$AC$15="Mayor"),CONCATENATE("R1C",'1. Mapa de Riesgos'!$Q$15),"")</f>
        <v/>
      </c>
      <c r="AD6" s="5" t="str">
        <f>IF(AND('1. Mapa de Riesgos'!$AA$16="Muy Alta",'1. Mapa de Riesgos'!$AC$16="Mayor"),CONCATENATE("R1C",'1. Mapa de Riesgos'!$Q$16),"")</f>
        <v/>
      </c>
      <c r="AE6" s="5" t="str">
        <f>IF(AND('1. Mapa de Riesgos'!$AA$17="Muy Alta",'1. Mapa de Riesgos'!$AC$17="Mayor"),CONCATENATE("R1C",'1. Mapa de Riesgos'!$Q$17),"")</f>
        <v/>
      </c>
      <c r="AF6" s="5" t="str">
        <f>IF(AND('1. Mapa de Riesgos'!$AA$18="Muy Alta",'1. Mapa de Riesgos'!$AC$18="Mayor"),CONCATENATE("R1C",'1. Mapa de Riesgos'!$Q$18),"")</f>
        <v/>
      </c>
      <c r="AG6" s="6" t="str">
        <f>IF(AND('1. Mapa de Riesgos'!$AA$19="Muy Alta",'1. Mapa de Riesgos'!$AC$19="Mayor"),CONCATENATE("R1C",'1. Mapa de Riesgos'!$Q$19),"")</f>
        <v/>
      </c>
      <c r="AH6" s="7" t="str">
        <f>IF(AND('1. Mapa de Riesgos'!$AA$14="Muy Alta",'1. Mapa de Riesgos'!$AC$14="Catastrófico"),CONCATENATE("R1C",'1. Mapa de Riesgos'!$Q$14),"")</f>
        <v/>
      </c>
      <c r="AI6" s="8" t="str">
        <f>IF(AND('1. Mapa de Riesgos'!$AA$15="Muy Alta",'1. Mapa de Riesgos'!$AC$15="Catastrófico"),CONCATENATE("R1C",'1. Mapa de Riesgos'!$Q$15),"")</f>
        <v/>
      </c>
      <c r="AJ6" s="8" t="str">
        <f>IF(AND('1. Mapa de Riesgos'!$AA$16="Muy Alta",'1. Mapa de Riesgos'!$AC$16="Catastrófico"),CONCATENATE("R1C",'1. Mapa de Riesgos'!$Q$16),"")</f>
        <v/>
      </c>
      <c r="AK6" s="8" t="str">
        <f>IF(AND('1. Mapa de Riesgos'!$AA$17="Muy Alta",'1. Mapa de Riesgos'!$AC$17="Catastrófico"),CONCATENATE("R1C",'1. Mapa de Riesgos'!$Q$17),"")</f>
        <v/>
      </c>
      <c r="AL6" s="8" t="str">
        <f>IF(AND('1. Mapa de Riesgos'!$AA$18="Muy Alta",'1. Mapa de Riesgos'!$AC$18="Catastrófico"),CONCATENATE("R1C",'1. Mapa de Riesgos'!$Q$18),"")</f>
        <v/>
      </c>
      <c r="AM6" s="9" t="str">
        <f>IF(AND('1. Mapa de Riesgos'!$AA$19="Muy Alta",'1. Mapa de Riesgos'!$AC$19="Catastrófico"),CONCATENATE("R1C",'1. Mapa de Riesgos'!$Q$19),"")</f>
        <v/>
      </c>
      <c r="AN6" s="41"/>
      <c r="AO6" s="532" t="s">
        <v>112</v>
      </c>
      <c r="AP6" s="533"/>
      <c r="AQ6" s="533"/>
      <c r="AR6" s="533"/>
      <c r="AS6" s="533"/>
      <c r="AT6" s="534"/>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row>
    <row r="7" spans="1:91" ht="15" customHeight="1" x14ac:dyDescent="0.25">
      <c r="A7" s="41"/>
      <c r="B7" s="474"/>
      <c r="C7" s="474"/>
      <c r="D7" s="475"/>
      <c r="E7" s="515"/>
      <c r="F7" s="516"/>
      <c r="G7" s="516"/>
      <c r="H7" s="516"/>
      <c r="I7" s="517"/>
      <c r="J7" s="10" t="str">
        <f>IF(AND('1. Mapa de Riesgos'!$AA$32="Muy Alta",'1. Mapa de Riesgos'!$AC$32="Leve"),CONCATENATE("R2C",'1. Mapa de Riesgos'!$Q$32),"")</f>
        <v/>
      </c>
      <c r="K7" s="11" t="str">
        <f>IF(AND('1. Mapa de Riesgos'!$AA$33="Muy Alta",'1. Mapa de Riesgos'!$AC$33="Leve"),CONCATENATE("R2C",'1. Mapa de Riesgos'!$Q$33),"")</f>
        <v/>
      </c>
      <c r="L7" s="11" t="str">
        <f>IF(AND('1. Mapa de Riesgos'!$AA$34="Muy Alta",'1. Mapa de Riesgos'!$AC$34="Leve"),CONCATENATE("R2C",'1. Mapa de Riesgos'!$Q$34),"")</f>
        <v/>
      </c>
      <c r="M7" s="11" t="str">
        <f>IF(AND('1. Mapa de Riesgos'!$AA$35="Muy Alta",'1. Mapa de Riesgos'!$AC$35="Leve"),CONCATENATE("R2C",'1. Mapa de Riesgos'!$Q$35),"")</f>
        <v/>
      </c>
      <c r="N7" s="11" t="str">
        <f>IF(AND('1. Mapa de Riesgos'!$AA$36="Muy Alta",'1. Mapa de Riesgos'!$AC$36="Leve"),CONCATENATE("R2C",'1. Mapa de Riesgos'!$Q$36),"")</f>
        <v/>
      </c>
      <c r="O7" s="12" t="str">
        <f>IF(AND('1. Mapa de Riesgos'!$AA$37="Muy Alta",'1. Mapa de Riesgos'!$AC$37="Leve"),CONCATENATE("R2C",'1. Mapa de Riesgos'!$Q$37),"")</f>
        <v/>
      </c>
      <c r="P7" s="10" t="str">
        <f>IF(AND('1. Mapa de Riesgos'!$AA$32="Muy Alta",'1. Mapa de Riesgos'!$AC$32="Menor"),CONCATENATE("R2C",'1. Mapa de Riesgos'!$Q$32),"")</f>
        <v/>
      </c>
      <c r="Q7" s="11" t="str">
        <f>IF(AND('1. Mapa de Riesgos'!$AA$33="Muy Alta",'1. Mapa de Riesgos'!$AC$33="Menor"),CONCATENATE("R2C",'1. Mapa de Riesgos'!$Q$33),"")</f>
        <v/>
      </c>
      <c r="R7" s="11" t="str">
        <f>IF(AND('1. Mapa de Riesgos'!$AA$34="Muy Alta",'1. Mapa de Riesgos'!$AC$34="Menor"),CONCATENATE("R2C",'1. Mapa de Riesgos'!$Q$34),"")</f>
        <v/>
      </c>
      <c r="S7" s="11" t="str">
        <f>IF(AND('1. Mapa de Riesgos'!$AA$35="Muy Alta",'1. Mapa de Riesgos'!$AC$35="Menor"),CONCATENATE("R2C",'1. Mapa de Riesgos'!$Q$35),"")</f>
        <v/>
      </c>
      <c r="T7" s="11" t="str">
        <f>IF(AND('1. Mapa de Riesgos'!$AA$36="Muy Alta",'1. Mapa de Riesgos'!$AC$36="Menor"),CONCATENATE("R2C",'1. Mapa de Riesgos'!$Q$36),"")</f>
        <v/>
      </c>
      <c r="U7" s="12" t="str">
        <f>IF(AND('1. Mapa de Riesgos'!$AA$37="Muy Alta",'1. Mapa de Riesgos'!$AC$37="Menor"),CONCATENATE("R2C",'1. Mapa de Riesgos'!$Q$37),"")</f>
        <v/>
      </c>
      <c r="V7" s="10" t="str">
        <f>IF(AND('1. Mapa de Riesgos'!$AA$32="Muy Alta",'1. Mapa de Riesgos'!$AC$32="Moderado"),CONCATENATE("R2C",'1. Mapa de Riesgos'!$Q$32),"")</f>
        <v/>
      </c>
      <c r="W7" s="11" t="str">
        <f>IF(AND('1. Mapa de Riesgos'!$AA$33="Muy Alta",'1. Mapa de Riesgos'!$AC$33="Moderado"),CONCATENATE("R2C",'1. Mapa de Riesgos'!$Q$33),"")</f>
        <v/>
      </c>
      <c r="X7" s="11" t="str">
        <f>IF(AND('1. Mapa de Riesgos'!$AA$34="Muy Alta",'1. Mapa de Riesgos'!$AC$34="Moderado"),CONCATENATE("R2C",'1. Mapa de Riesgos'!$Q$34),"")</f>
        <v/>
      </c>
      <c r="Y7" s="11" t="str">
        <f>IF(AND('1. Mapa de Riesgos'!$AA$35="Muy Alta",'1. Mapa de Riesgos'!$AC$35="Moderado"),CONCATENATE("R2C",'1. Mapa de Riesgos'!$Q$35),"")</f>
        <v/>
      </c>
      <c r="Z7" s="11" t="str">
        <f>IF(AND('1. Mapa de Riesgos'!$AA$36="Muy Alta",'1. Mapa de Riesgos'!$AC$36="Moderado"),CONCATENATE("R2C",'1. Mapa de Riesgos'!$Q$36),"")</f>
        <v/>
      </c>
      <c r="AA7" s="12" t="str">
        <f>IF(AND('1. Mapa de Riesgos'!$AA$37="Muy Alta",'1. Mapa de Riesgos'!$AC$37="Moderado"),CONCATENATE("R2C",'1. Mapa de Riesgos'!$Q$37),"")</f>
        <v/>
      </c>
      <c r="AB7" s="10" t="str">
        <f>IF(AND('1. Mapa de Riesgos'!$AA$32="Muy Alta",'1. Mapa de Riesgos'!$AC$32="Mayor"),CONCATENATE("R2C",'1. Mapa de Riesgos'!$Q$32),"")</f>
        <v/>
      </c>
      <c r="AC7" s="11" t="str">
        <f>IF(AND('1. Mapa de Riesgos'!$AA$33="Muy Alta",'1. Mapa de Riesgos'!$AC$33="Mayor"),CONCATENATE("R2C",'1. Mapa de Riesgos'!$Q$33),"")</f>
        <v/>
      </c>
      <c r="AD7" s="11" t="str">
        <f>IF(AND('1. Mapa de Riesgos'!$AA$34="Muy Alta",'1. Mapa de Riesgos'!$AC$34="Mayor"),CONCATENATE("R2C",'1. Mapa de Riesgos'!$Q$34),"")</f>
        <v/>
      </c>
      <c r="AE7" s="11" t="str">
        <f>IF(AND('1. Mapa de Riesgos'!$AA$35="Muy Alta",'1. Mapa de Riesgos'!$AC$35="Mayor"),CONCATENATE("R2C",'1. Mapa de Riesgos'!$Q$35),"")</f>
        <v/>
      </c>
      <c r="AF7" s="11" t="str">
        <f>IF(AND('1. Mapa de Riesgos'!$AA$36="Muy Alta",'1. Mapa de Riesgos'!$AC$36="Mayor"),CONCATENATE("R2C",'1. Mapa de Riesgos'!$Q$36),"")</f>
        <v/>
      </c>
      <c r="AG7" s="12" t="str">
        <f>IF(AND('1. Mapa de Riesgos'!$AA$37="Muy Alta",'1. Mapa de Riesgos'!$AC$37="Mayor"),CONCATENATE("R2C",'1. Mapa de Riesgos'!$Q$37),"")</f>
        <v/>
      </c>
      <c r="AH7" s="13" t="str">
        <f>IF(AND('1. Mapa de Riesgos'!$AA$32="Muy Alta",'1. Mapa de Riesgos'!$AC$32="Catastrófico"),CONCATENATE("R2C",'1. Mapa de Riesgos'!$Q$32),"")</f>
        <v/>
      </c>
      <c r="AI7" s="14" t="str">
        <f>IF(AND('1. Mapa de Riesgos'!$AA$33="Muy Alta",'1. Mapa de Riesgos'!$AC$33="Catastrófico"),CONCATENATE("R2C",'1. Mapa de Riesgos'!$Q$33),"")</f>
        <v/>
      </c>
      <c r="AJ7" s="14" t="str">
        <f>IF(AND('1. Mapa de Riesgos'!$AA$34="Muy Alta",'1. Mapa de Riesgos'!$AC$34="Catastrófico"),CONCATENATE("R2C",'1. Mapa de Riesgos'!$Q$34),"")</f>
        <v/>
      </c>
      <c r="AK7" s="14" t="str">
        <f>IF(AND('1. Mapa de Riesgos'!$AA$35="Muy Alta",'1. Mapa de Riesgos'!$AC$35="Catastrófico"),CONCATENATE("R2C",'1. Mapa de Riesgos'!$Q$35),"")</f>
        <v/>
      </c>
      <c r="AL7" s="14" t="str">
        <f>IF(AND('1. Mapa de Riesgos'!$AA$36="Muy Alta",'1. Mapa de Riesgos'!$AC$36="Catastrófico"),CONCATENATE("R2C",'1. Mapa de Riesgos'!$Q$36),"")</f>
        <v/>
      </c>
      <c r="AM7" s="15" t="str">
        <f>IF(AND('1. Mapa de Riesgos'!$AA$37="Muy Alta",'1. Mapa de Riesgos'!$AC$37="Catastrófico"),CONCATENATE("R2C",'1. Mapa de Riesgos'!$Q$37),"")</f>
        <v/>
      </c>
      <c r="AN7" s="41"/>
      <c r="AO7" s="535"/>
      <c r="AP7" s="536"/>
      <c r="AQ7" s="536"/>
      <c r="AR7" s="536"/>
      <c r="AS7" s="536"/>
      <c r="AT7" s="537"/>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row>
    <row r="8" spans="1:91" ht="15" customHeight="1" x14ac:dyDescent="0.25">
      <c r="A8" s="41"/>
      <c r="B8" s="474"/>
      <c r="C8" s="474"/>
      <c r="D8" s="475"/>
      <c r="E8" s="515"/>
      <c r="F8" s="516"/>
      <c r="G8" s="516"/>
      <c r="H8" s="516"/>
      <c r="I8" s="517"/>
      <c r="J8" s="10" t="str">
        <f>IF(AND('1. Mapa de Riesgos'!$AA$38="Muy Alta",'1. Mapa de Riesgos'!$AC$38="Leve"),CONCATENATE("R3C",'1. Mapa de Riesgos'!$Q$38),"")</f>
        <v/>
      </c>
      <c r="K8" s="11" t="str">
        <f>IF(AND('1. Mapa de Riesgos'!$AA$39="Muy Alta",'1. Mapa de Riesgos'!$AC$39="Leve"),CONCATENATE("R3C",'1. Mapa de Riesgos'!$Q$39),"")</f>
        <v/>
      </c>
      <c r="L8" s="11" t="str">
        <f>IF(AND('1. Mapa de Riesgos'!$AA$40="Muy Alta",'1. Mapa de Riesgos'!$AC$40="Leve"),CONCATENATE("R3C",'1. Mapa de Riesgos'!$Q$40),"")</f>
        <v/>
      </c>
      <c r="M8" s="11" t="str">
        <f>IF(AND('1. Mapa de Riesgos'!$AA$41="Muy Alta",'1. Mapa de Riesgos'!$AC$41="Leve"),CONCATENATE("R3C",'1. Mapa de Riesgos'!$Q$41),"")</f>
        <v/>
      </c>
      <c r="N8" s="11" t="str">
        <f>IF(AND('1. Mapa de Riesgos'!$AA$42="Muy Alta",'1. Mapa de Riesgos'!$AC$42="Leve"),CONCATENATE("R3C",'1. Mapa de Riesgos'!$Q$42),"")</f>
        <v/>
      </c>
      <c r="O8" s="12" t="str">
        <f>IF(AND('1. Mapa de Riesgos'!$AA$43="Muy Alta",'1. Mapa de Riesgos'!$AC$43="Leve"),CONCATENATE("R3C",'1. Mapa de Riesgos'!$Q$43),"")</f>
        <v/>
      </c>
      <c r="P8" s="10" t="str">
        <f>IF(AND('1. Mapa de Riesgos'!$AA$38="Muy Alta",'1. Mapa de Riesgos'!$AC$38="Menor"),CONCATENATE("R3C",'1. Mapa de Riesgos'!$Q$38),"")</f>
        <v/>
      </c>
      <c r="Q8" s="11" t="str">
        <f>IF(AND('1. Mapa de Riesgos'!$AA$39="Muy Alta",'1. Mapa de Riesgos'!$AC$39="Menor"),CONCATENATE("R3C",'1. Mapa de Riesgos'!$Q$39),"")</f>
        <v/>
      </c>
      <c r="R8" s="11" t="str">
        <f>IF(AND('1. Mapa de Riesgos'!$AA$40="Muy Alta",'1. Mapa de Riesgos'!$AC$40="Menor"),CONCATENATE("R3C",'1. Mapa de Riesgos'!$Q$40),"")</f>
        <v/>
      </c>
      <c r="S8" s="11" t="str">
        <f>IF(AND('1. Mapa de Riesgos'!$AA$41="Muy Alta",'1. Mapa de Riesgos'!$AC$41="Menor"),CONCATENATE("R3C",'1. Mapa de Riesgos'!$Q$41),"")</f>
        <v/>
      </c>
      <c r="T8" s="11" t="str">
        <f>IF(AND('1. Mapa de Riesgos'!$AA$42="Muy Alta",'1. Mapa de Riesgos'!$AC$42="Menor"),CONCATENATE("R3C",'1. Mapa de Riesgos'!$Q$42),"")</f>
        <v/>
      </c>
      <c r="U8" s="12" t="str">
        <f>IF(AND('1. Mapa de Riesgos'!$AA$43="Muy Alta",'1. Mapa de Riesgos'!$AC$43="Menor"),CONCATENATE("R3C",'1. Mapa de Riesgos'!$Q$43),"")</f>
        <v/>
      </c>
      <c r="V8" s="10" t="str">
        <f>IF(AND('1. Mapa de Riesgos'!$AA$38="Muy Alta",'1. Mapa de Riesgos'!$AC$38="Moderado"),CONCATENATE("R3C",'1. Mapa de Riesgos'!$Q$38),"")</f>
        <v/>
      </c>
      <c r="W8" s="11" t="str">
        <f>IF(AND('1. Mapa de Riesgos'!$AA$39="Muy Alta",'1. Mapa de Riesgos'!$AC$39="Moderado"),CONCATENATE("R3C",'1. Mapa de Riesgos'!$Q$39),"")</f>
        <v/>
      </c>
      <c r="X8" s="11" t="str">
        <f>IF(AND('1. Mapa de Riesgos'!$AA$40="Muy Alta",'1. Mapa de Riesgos'!$AC$40="Moderado"),CONCATENATE("R3C",'1. Mapa de Riesgos'!$Q$40),"")</f>
        <v/>
      </c>
      <c r="Y8" s="11" t="str">
        <f>IF(AND('1. Mapa de Riesgos'!$AA$41="Muy Alta",'1. Mapa de Riesgos'!$AC$41="Moderado"),CONCATENATE("R3C",'1. Mapa de Riesgos'!$Q$41),"")</f>
        <v/>
      </c>
      <c r="Z8" s="11" t="str">
        <f>IF(AND('1. Mapa de Riesgos'!$AA$42="Muy Alta",'1. Mapa de Riesgos'!$AC$42="Moderado"),CONCATENATE("R3C",'1. Mapa de Riesgos'!$Q$42),"")</f>
        <v/>
      </c>
      <c r="AA8" s="12" t="str">
        <f>IF(AND('1. Mapa de Riesgos'!$AA$43="Muy Alta",'1. Mapa de Riesgos'!$AC$43="Moderado"),CONCATENATE("R3C",'1. Mapa de Riesgos'!$Q$43),"")</f>
        <v/>
      </c>
      <c r="AB8" s="10" t="str">
        <f>IF(AND('1. Mapa de Riesgos'!$AA$38="Muy Alta",'1. Mapa de Riesgos'!$AC$38="Mayor"),CONCATENATE("R3C",'1. Mapa de Riesgos'!$Q$38),"")</f>
        <v/>
      </c>
      <c r="AC8" s="11" t="str">
        <f>IF(AND('1. Mapa de Riesgos'!$AA$39="Muy Alta",'1. Mapa de Riesgos'!$AC$39="Mayor"),CONCATENATE("R3C",'1. Mapa de Riesgos'!$Q$39),"")</f>
        <v/>
      </c>
      <c r="AD8" s="11" t="str">
        <f>IF(AND('1. Mapa de Riesgos'!$AA$40="Muy Alta",'1. Mapa de Riesgos'!$AC$40="Mayor"),CONCATENATE("R3C",'1. Mapa de Riesgos'!$Q$40),"")</f>
        <v/>
      </c>
      <c r="AE8" s="11" t="str">
        <f>IF(AND('1. Mapa de Riesgos'!$AA$41="Muy Alta",'1. Mapa de Riesgos'!$AC$41="Mayor"),CONCATENATE("R3C",'1. Mapa de Riesgos'!$Q$41),"")</f>
        <v/>
      </c>
      <c r="AF8" s="11" t="str">
        <f>IF(AND('1. Mapa de Riesgos'!$AA$42="Muy Alta",'1. Mapa de Riesgos'!$AC$42="Mayor"),CONCATENATE("R3C",'1. Mapa de Riesgos'!$Q$42),"")</f>
        <v/>
      </c>
      <c r="AG8" s="12" t="str">
        <f>IF(AND('1. Mapa de Riesgos'!$AA$43="Muy Alta",'1. Mapa de Riesgos'!$AC$43="Mayor"),CONCATENATE("R3C",'1. Mapa de Riesgos'!$Q$43),"")</f>
        <v/>
      </c>
      <c r="AH8" s="13" t="str">
        <f>IF(AND('1. Mapa de Riesgos'!$AA$38="Muy Alta",'1. Mapa de Riesgos'!$AC$38="Catastrófico"),CONCATENATE("R3C",'1. Mapa de Riesgos'!$Q$38),"")</f>
        <v/>
      </c>
      <c r="AI8" s="14" t="str">
        <f>IF(AND('1. Mapa de Riesgos'!$AA$39="Muy Alta",'1. Mapa de Riesgos'!$AC$39="Catastrófico"),CONCATENATE("R3C",'1. Mapa de Riesgos'!$Q$39),"")</f>
        <v/>
      </c>
      <c r="AJ8" s="14" t="str">
        <f>IF(AND('1. Mapa de Riesgos'!$AA$40="Muy Alta",'1. Mapa de Riesgos'!$AC$40="Catastrófico"),CONCATENATE("R3C",'1. Mapa de Riesgos'!$Q$40),"")</f>
        <v/>
      </c>
      <c r="AK8" s="14" t="str">
        <f>IF(AND('1. Mapa de Riesgos'!$AA$41="Muy Alta",'1. Mapa de Riesgos'!$AC$41="Catastrófico"),CONCATENATE("R3C",'1. Mapa de Riesgos'!$Q$41),"")</f>
        <v/>
      </c>
      <c r="AL8" s="14" t="str">
        <f>IF(AND('1. Mapa de Riesgos'!$AA$42="Muy Alta",'1. Mapa de Riesgos'!$AC$42="Catastrófico"),CONCATENATE("R3C",'1. Mapa de Riesgos'!$Q$42),"")</f>
        <v/>
      </c>
      <c r="AM8" s="15" t="str">
        <f>IF(AND('1. Mapa de Riesgos'!$AA$43="Muy Alta",'1. Mapa de Riesgos'!$AC$43="Catastrófico"),CONCATENATE("R3C",'1. Mapa de Riesgos'!$Q$43),"")</f>
        <v/>
      </c>
      <c r="AN8" s="41"/>
      <c r="AO8" s="535"/>
      <c r="AP8" s="536"/>
      <c r="AQ8" s="536"/>
      <c r="AR8" s="536"/>
      <c r="AS8" s="536"/>
      <c r="AT8" s="537"/>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row>
    <row r="9" spans="1:91" ht="15" customHeight="1" x14ac:dyDescent="0.25">
      <c r="A9" s="41"/>
      <c r="B9" s="474"/>
      <c r="C9" s="474"/>
      <c r="D9" s="475"/>
      <c r="E9" s="515"/>
      <c r="F9" s="516"/>
      <c r="G9" s="516"/>
      <c r="H9" s="516"/>
      <c r="I9" s="517"/>
      <c r="J9" s="10" t="str">
        <f>IF(AND('1. Mapa de Riesgos'!$AA$50="Muy Alta",'1. Mapa de Riesgos'!$AC$50="Leve"),CONCATENATE("R4C",'1. Mapa de Riesgos'!$Q$50),"")</f>
        <v/>
      </c>
      <c r="K9" s="11" t="str">
        <f>IF(AND('1. Mapa de Riesgos'!$AA$51="Muy Alta",'1. Mapa de Riesgos'!$AC$51="Leve"),CONCATENATE("R4C",'1. Mapa de Riesgos'!$Q$51),"")</f>
        <v/>
      </c>
      <c r="L9" s="11" t="str">
        <f>IF(AND('1. Mapa de Riesgos'!$AA$52="Muy Alta",'1. Mapa de Riesgos'!$AC$52="Leve"),CONCATENATE("R4C",'1. Mapa de Riesgos'!$Q$52),"")</f>
        <v/>
      </c>
      <c r="M9" s="11" t="str">
        <f>IF(AND('1. Mapa de Riesgos'!$AA$53="Muy Alta",'1. Mapa de Riesgos'!$AC$53="Leve"),CONCATENATE("R4C",'1. Mapa de Riesgos'!$Q$53),"")</f>
        <v/>
      </c>
      <c r="N9" s="11" t="str">
        <f>IF(AND('1. Mapa de Riesgos'!$AA$54="Muy Alta",'1. Mapa de Riesgos'!$AC$54="Leve"),CONCATENATE("R4C",'1. Mapa de Riesgos'!$Q$54),"")</f>
        <v/>
      </c>
      <c r="O9" s="12" t="str">
        <f>IF(AND('1. Mapa de Riesgos'!$AA$55="Muy Alta",'1. Mapa de Riesgos'!$AC$55="Leve"),CONCATENATE("R4C",'1. Mapa de Riesgos'!$Q$55),"")</f>
        <v/>
      </c>
      <c r="P9" s="10" t="str">
        <f>IF(AND('1. Mapa de Riesgos'!$AA$50="Muy Alta",'1. Mapa de Riesgos'!$AC$50="Menor"),CONCATENATE("R4C",'1. Mapa de Riesgos'!$Q$50),"")</f>
        <v/>
      </c>
      <c r="Q9" s="11" t="str">
        <f>IF(AND('1. Mapa de Riesgos'!$AA$51="Muy Alta",'1. Mapa de Riesgos'!$AC$51="Menor"),CONCATENATE("R4C",'1. Mapa de Riesgos'!$Q$51),"")</f>
        <v/>
      </c>
      <c r="R9" s="11" t="str">
        <f>IF(AND('1. Mapa de Riesgos'!$AA$52="Muy Alta",'1. Mapa de Riesgos'!$AC$52="Menor"),CONCATENATE("R4C",'1. Mapa de Riesgos'!$Q$52),"")</f>
        <v/>
      </c>
      <c r="S9" s="11" t="str">
        <f>IF(AND('1. Mapa de Riesgos'!$AA$53="Muy Alta",'1. Mapa de Riesgos'!$AC$53="Menor"),CONCATENATE("R4C",'1. Mapa de Riesgos'!$Q$53),"")</f>
        <v/>
      </c>
      <c r="T9" s="11" t="str">
        <f>IF(AND('1. Mapa de Riesgos'!$AA$54="Muy Alta",'1. Mapa de Riesgos'!$AC$54="Menor"),CONCATENATE("R4C",'1. Mapa de Riesgos'!$Q$54),"")</f>
        <v/>
      </c>
      <c r="U9" s="12" t="str">
        <f>IF(AND('1. Mapa de Riesgos'!$AA$55="Muy Alta",'1. Mapa de Riesgos'!$AC$55="Menor"),CONCATENATE("R4C",'1. Mapa de Riesgos'!$Q$55),"")</f>
        <v/>
      </c>
      <c r="V9" s="10" t="str">
        <f>IF(AND('1. Mapa de Riesgos'!$AA$50="Muy Alta",'1. Mapa de Riesgos'!$AC$50="Moderado"),CONCATENATE("R4C",'1. Mapa de Riesgos'!$Q$50),"")</f>
        <v/>
      </c>
      <c r="W9" s="11" t="str">
        <f>IF(AND('1. Mapa de Riesgos'!$AA$51="Muy Alta",'1. Mapa de Riesgos'!$AC$51="Moderado"),CONCATENATE("R4C",'1. Mapa de Riesgos'!$Q$51),"")</f>
        <v/>
      </c>
      <c r="X9" s="11" t="str">
        <f>IF(AND('1. Mapa de Riesgos'!$AA$52="Muy Alta",'1. Mapa de Riesgos'!$AC$52="Moderado"),CONCATENATE("R4C",'1. Mapa de Riesgos'!$Q$52),"")</f>
        <v/>
      </c>
      <c r="Y9" s="11" t="str">
        <f>IF(AND('1. Mapa de Riesgos'!$AA$53="Muy Alta",'1. Mapa de Riesgos'!$AC$53="Moderado"),CONCATENATE("R4C",'1. Mapa de Riesgos'!$Q$53),"")</f>
        <v/>
      </c>
      <c r="Z9" s="11" t="str">
        <f>IF(AND('1. Mapa de Riesgos'!$AA$54="Muy Alta",'1. Mapa de Riesgos'!$AC$54="Moderado"),CONCATENATE("R4C",'1. Mapa de Riesgos'!$Q$54),"")</f>
        <v/>
      </c>
      <c r="AA9" s="12" t="str">
        <f>IF(AND('1. Mapa de Riesgos'!$AA$55="Muy Alta",'1. Mapa de Riesgos'!$AC$55="Moderado"),CONCATENATE("R4C",'1. Mapa de Riesgos'!$Q$55),"")</f>
        <v/>
      </c>
      <c r="AB9" s="10" t="str">
        <f>IF(AND('1. Mapa de Riesgos'!$AA$50="Muy Alta",'1. Mapa de Riesgos'!$AC$50="Mayor"),CONCATENATE("R4C",'1. Mapa de Riesgos'!$Q$50),"")</f>
        <v/>
      </c>
      <c r="AC9" s="11" t="str">
        <f>IF(AND('1. Mapa de Riesgos'!$AA$51="Muy Alta",'1. Mapa de Riesgos'!$AC$51="Mayor"),CONCATENATE("R4C",'1. Mapa de Riesgos'!$Q$51),"")</f>
        <v/>
      </c>
      <c r="AD9" s="11" t="str">
        <f>IF(AND('1. Mapa de Riesgos'!$AA$52="Muy Alta",'1. Mapa de Riesgos'!$AC$52="Mayor"),CONCATENATE("R4C",'1. Mapa de Riesgos'!$Q$52),"")</f>
        <v/>
      </c>
      <c r="AE9" s="11" t="str">
        <f>IF(AND('1. Mapa de Riesgos'!$AA$53="Muy Alta",'1. Mapa de Riesgos'!$AC$53="Mayor"),CONCATENATE("R4C",'1. Mapa de Riesgos'!$Q$53),"")</f>
        <v/>
      </c>
      <c r="AF9" s="11" t="str">
        <f>IF(AND('1. Mapa de Riesgos'!$AA$54="Muy Alta",'1. Mapa de Riesgos'!$AC$54="Mayor"),CONCATENATE("R4C",'1. Mapa de Riesgos'!$Q$54),"")</f>
        <v/>
      </c>
      <c r="AG9" s="12" t="str">
        <f>IF(AND('1. Mapa de Riesgos'!$AA$55="Muy Alta",'1. Mapa de Riesgos'!$AC$55="Mayor"),CONCATENATE("R4C",'1. Mapa de Riesgos'!$Q$55),"")</f>
        <v/>
      </c>
      <c r="AH9" s="13" t="str">
        <f>IF(AND('1. Mapa de Riesgos'!$AA$50="Muy Alta",'1. Mapa de Riesgos'!$AC$50="Catastrófico"),CONCATENATE("R4C",'1. Mapa de Riesgos'!$Q$50),"")</f>
        <v/>
      </c>
      <c r="AI9" s="14" t="str">
        <f>IF(AND('1. Mapa de Riesgos'!$AA$51="Muy Alta",'1. Mapa de Riesgos'!$AC$51="Catastrófico"),CONCATENATE("R4C",'1. Mapa de Riesgos'!$Q$51),"")</f>
        <v/>
      </c>
      <c r="AJ9" s="14" t="str">
        <f>IF(AND('1. Mapa de Riesgos'!$AA$52="Muy Alta",'1. Mapa de Riesgos'!$AC$52="Catastrófico"),CONCATENATE("R4C",'1. Mapa de Riesgos'!$Q$52),"")</f>
        <v/>
      </c>
      <c r="AK9" s="14" t="str">
        <f>IF(AND('1. Mapa de Riesgos'!$AA$53="Muy Alta",'1. Mapa de Riesgos'!$AC$53="Catastrófico"),CONCATENATE("R4C",'1. Mapa de Riesgos'!$Q$53),"")</f>
        <v/>
      </c>
      <c r="AL9" s="14" t="str">
        <f>IF(AND('1. Mapa de Riesgos'!$AA$54="Muy Alta",'1. Mapa de Riesgos'!$AC$54="Catastrófico"),CONCATENATE("R4C",'1. Mapa de Riesgos'!$Q$54),"")</f>
        <v/>
      </c>
      <c r="AM9" s="15" t="str">
        <f>IF(AND('1. Mapa de Riesgos'!$AA$55="Muy Alta",'1. Mapa de Riesgos'!$AC$55="Catastrófico"),CONCATENATE("R4C",'1. Mapa de Riesgos'!$Q$55),"")</f>
        <v/>
      </c>
      <c r="AN9" s="41"/>
      <c r="AO9" s="535"/>
      <c r="AP9" s="536"/>
      <c r="AQ9" s="536"/>
      <c r="AR9" s="536"/>
      <c r="AS9" s="536"/>
      <c r="AT9" s="537"/>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row>
    <row r="10" spans="1:91" ht="15" customHeight="1" x14ac:dyDescent="0.25">
      <c r="A10" s="41"/>
      <c r="B10" s="474"/>
      <c r="C10" s="474"/>
      <c r="D10" s="475"/>
      <c r="E10" s="515"/>
      <c r="F10" s="516"/>
      <c r="G10" s="516"/>
      <c r="H10" s="516"/>
      <c r="I10" s="517"/>
      <c r="J10" s="10" t="e">
        <f>IF(AND('1. Mapa de Riesgos'!#REF!="Muy Alta",'1. Mapa de Riesgos'!#REF!="Leve"),CONCATENATE("R5C",'1. Mapa de Riesgos'!#REF!),"")</f>
        <v>#REF!</v>
      </c>
      <c r="K10" s="11" t="e">
        <f>IF(AND('1. Mapa de Riesgos'!#REF!="Muy Alta",'1. Mapa de Riesgos'!#REF!="Leve"),CONCATENATE("R5C",'1. Mapa de Riesgos'!#REF!),"")</f>
        <v>#REF!</v>
      </c>
      <c r="L10" s="11" t="e">
        <f>IF(AND('1. Mapa de Riesgos'!#REF!="Muy Alta",'1. Mapa de Riesgos'!#REF!="Leve"),CONCATENATE("R5C",'1. Mapa de Riesgos'!#REF!),"")</f>
        <v>#REF!</v>
      </c>
      <c r="M10" s="11" t="e">
        <f>IF(AND('1. Mapa de Riesgos'!#REF!="Muy Alta",'1. Mapa de Riesgos'!#REF!="Leve"),CONCATENATE("R5C",'1. Mapa de Riesgos'!#REF!),"")</f>
        <v>#REF!</v>
      </c>
      <c r="N10" s="11" t="e">
        <f>IF(AND('1. Mapa de Riesgos'!#REF!="Muy Alta",'1. Mapa de Riesgos'!#REF!="Leve"),CONCATENATE("R5C",'1. Mapa de Riesgos'!#REF!),"")</f>
        <v>#REF!</v>
      </c>
      <c r="O10" s="12" t="e">
        <f>IF(AND('1. Mapa de Riesgos'!#REF!="Muy Alta",'1. Mapa de Riesgos'!#REF!="Leve"),CONCATENATE("R5C",'1. Mapa de Riesgos'!#REF!),"")</f>
        <v>#REF!</v>
      </c>
      <c r="P10" s="10" t="e">
        <f>IF(AND('1. Mapa de Riesgos'!#REF!="Muy Alta",'1. Mapa de Riesgos'!#REF!="Menor"),CONCATENATE("R5C",'1. Mapa de Riesgos'!#REF!),"")</f>
        <v>#REF!</v>
      </c>
      <c r="Q10" s="11" t="e">
        <f>IF(AND('1. Mapa de Riesgos'!#REF!="Muy Alta",'1. Mapa de Riesgos'!#REF!="Menor"),CONCATENATE("R5C",'1. Mapa de Riesgos'!#REF!),"")</f>
        <v>#REF!</v>
      </c>
      <c r="R10" s="11" t="e">
        <f>IF(AND('1. Mapa de Riesgos'!#REF!="Muy Alta",'1. Mapa de Riesgos'!#REF!="Menor"),CONCATENATE("R5C",'1. Mapa de Riesgos'!#REF!),"")</f>
        <v>#REF!</v>
      </c>
      <c r="S10" s="11" t="e">
        <f>IF(AND('1. Mapa de Riesgos'!#REF!="Muy Alta",'1. Mapa de Riesgos'!#REF!="Menor"),CONCATENATE("R5C",'1. Mapa de Riesgos'!#REF!),"")</f>
        <v>#REF!</v>
      </c>
      <c r="T10" s="11" t="e">
        <f>IF(AND('1. Mapa de Riesgos'!#REF!="Muy Alta",'1. Mapa de Riesgos'!#REF!="Menor"),CONCATENATE("R5C",'1. Mapa de Riesgos'!#REF!),"")</f>
        <v>#REF!</v>
      </c>
      <c r="U10" s="12" t="e">
        <f>IF(AND('1. Mapa de Riesgos'!#REF!="Muy Alta",'1. Mapa de Riesgos'!#REF!="Menor"),CONCATENATE("R5C",'1. Mapa de Riesgos'!#REF!),"")</f>
        <v>#REF!</v>
      </c>
      <c r="V10" s="10" t="e">
        <f>IF(AND('1. Mapa de Riesgos'!#REF!="Muy Alta",'1. Mapa de Riesgos'!#REF!="Moderado"),CONCATENATE("R5C",'1. Mapa de Riesgos'!#REF!),"")</f>
        <v>#REF!</v>
      </c>
      <c r="W10" s="11" t="e">
        <f>IF(AND('1. Mapa de Riesgos'!#REF!="Muy Alta",'1. Mapa de Riesgos'!#REF!="Moderado"),CONCATENATE("R5C",'1. Mapa de Riesgos'!#REF!),"")</f>
        <v>#REF!</v>
      </c>
      <c r="X10" s="11" t="e">
        <f>IF(AND('1. Mapa de Riesgos'!#REF!="Muy Alta",'1. Mapa de Riesgos'!#REF!="Moderado"),CONCATENATE("R5C",'1. Mapa de Riesgos'!#REF!),"")</f>
        <v>#REF!</v>
      </c>
      <c r="Y10" s="11" t="e">
        <f>IF(AND('1. Mapa de Riesgos'!#REF!="Muy Alta",'1. Mapa de Riesgos'!#REF!="Moderado"),CONCATENATE("R5C",'1. Mapa de Riesgos'!#REF!),"")</f>
        <v>#REF!</v>
      </c>
      <c r="Z10" s="11" t="e">
        <f>IF(AND('1. Mapa de Riesgos'!#REF!="Muy Alta",'1. Mapa de Riesgos'!#REF!="Moderado"),CONCATENATE("R5C",'1. Mapa de Riesgos'!#REF!),"")</f>
        <v>#REF!</v>
      </c>
      <c r="AA10" s="12" t="e">
        <f>IF(AND('1. Mapa de Riesgos'!#REF!="Muy Alta",'1. Mapa de Riesgos'!#REF!="Moderado"),CONCATENATE("R5C",'1. Mapa de Riesgos'!#REF!),"")</f>
        <v>#REF!</v>
      </c>
      <c r="AB10" s="10" t="e">
        <f>IF(AND('1. Mapa de Riesgos'!#REF!="Muy Alta",'1. Mapa de Riesgos'!#REF!="Mayor"),CONCATENATE("R5C",'1. Mapa de Riesgos'!#REF!),"")</f>
        <v>#REF!</v>
      </c>
      <c r="AC10" s="11" t="e">
        <f>IF(AND('1. Mapa de Riesgos'!#REF!="Muy Alta",'1. Mapa de Riesgos'!#REF!="Mayor"),CONCATENATE("R5C",'1. Mapa de Riesgos'!#REF!),"")</f>
        <v>#REF!</v>
      </c>
      <c r="AD10" s="11" t="e">
        <f>IF(AND('1. Mapa de Riesgos'!#REF!="Muy Alta",'1. Mapa de Riesgos'!#REF!="Mayor"),CONCATENATE("R5C",'1. Mapa de Riesgos'!#REF!),"")</f>
        <v>#REF!</v>
      </c>
      <c r="AE10" s="11" t="e">
        <f>IF(AND('1. Mapa de Riesgos'!#REF!="Muy Alta",'1. Mapa de Riesgos'!#REF!="Mayor"),CONCATENATE("R5C",'1. Mapa de Riesgos'!#REF!),"")</f>
        <v>#REF!</v>
      </c>
      <c r="AF10" s="11" t="e">
        <f>IF(AND('1. Mapa de Riesgos'!#REF!="Muy Alta",'1. Mapa de Riesgos'!#REF!="Mayor"),CONCATENATE("R5C",'1. Mapa de Riesgos'!#REF!),"")</f>
        <v>#REF!</v>
      </c>
      <c r="AG10" s="12" t="e">
        <f>IF(AND('1. Mapa de Riesgos'!#REF!="Muy Alta",'1. Mapa de Riesgos'!#REF!="Mayor"),CONCATENATE("R5C",'1. Mapa de Riesgos'!#REF!),"")</f>
        <v>#REF!</v>
      </c>
      <c r="AH10" s="13" t="e">
        <f>IF(AND('1. Mapa de Riesgos'!#REF!="Muy Alta",'1. Mapa de Riesgos'!#REF!="Catastrófico"),CONCATENATE("R5C",'1. Mapa de Riesgos'!#REF!),"")</f>
        <v>#REF!</v>
      </c>
      <c r="AI10" s="14" t="e">
        <f>IF(AND('1. Mapa de Riesgos'!#REF!="Muy Alta",'1. Mapa de Riesgos'!#REF!="Catastrófico"),CONCATENATE("R5C",'1. Mapa de Riesgos'!#REF!),"")</f>
        <v>#REF!</v>
      </c>
      <c r="AJ10" s="14" t="e">
        <f>IF(AND('1. Mapa de Riesgos'!#REF!="Muy Alta",'1. Mapa de Riesgos'!#REF!="Catastrófico"),CONCATENATE("R5C",'1. Mapa de Riesgos'!#REF!),"")</f>
        <v>#REF!</v>
      </c>
      <c r="AK10" s="14" t="e">
        <f>IF(AND('1. Mapa de Riesgos'!#REF!="Muy Alta",'1. Mapa de Riesgos'!#REF!="Catastrófico"),CONCATENATE("R5C",'1. Mapa de Riesgos'!#REF!),"")</f>
        <v>#REF!</v>
      </c>
      <c r="AL10" s="14" t="e">
        <f>IF(AND('1. Mapa de Riesgos'!#REF!="Muy Alta",'1. Mapa de Riesgos'!#REF!="Catastrófico"),CONCATENATE("R5C",'1. Mapa de Riesgos'!#REF!),"")</f>
        <v>#REF!</v>
      </c>
      <c r="AM10" s="15" t="e">
        <f>IF(AND('1. Mapa de Riesgos'!#REF!="Muy Alta",'1. Mapa de Riesgos'!#REF!="Catastrófico"),CONCATENATE("R5C",'1. Mapa de Riesgos'!#REF!),"")</f>
        <v>#REF!</v>
      </c>
      <c r="AN10" s="41"/>
      <c r="AO10" s="535"/>
      <c r="AP10" s="536"/>
      <c r="AQ10" s="536"/>
      <c r="AR10" s="536"/>
      <c r="AS10" s="536"/>
      <c r="AT10" s="537"/>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row>
    <row r="11" spans="1:91" ht="15" customHeight="1" x14ac:dyDescent="0.25">
      <c r="A11" s="41"/>
      <c r="B11" s="474"/>
      <c r="C11" s="474"/>
      <c r="D11" s="475"/>
      <c r="E11" s="515"/>
      <c r="F11" s="516"/>
      <c r="G11" s="516"/>
      <c r="H11" s="516"/>
      <c r="I11" s="517"/>
      <c r="J11" s="10" t="str">
        <f>IF(AND('1. Mapa de Riesgos'!$AA$56="Muy Alta",'1. Mapa de Riesgos'!$AC$56="Leve"),CONCATENATE("R6C",'1. Mapa de Riesgos'!$Q$56),"")</f>
        <v/>
      </c>
      <c r="K11" s="11" t="str">
        <f>IF(AND('1. Mapa de Riesgos'!$AA$57="Muy Alta",'1. Mapa de Riesgos'!$AC$57="Leve"),CONCATENATE("R6C",'1. Mapa de Riesgos'!$Q$57),"")</f>
        <v/>
      </c>
      <c r="L11" s="11" t="str">
        <f>IF(AND('1. Mapa de Riesgos'!$AA$58="Muy Alta",'1. Mapa de Riesgos'!$AC$58="Leve"),CONCATENATE("R6C",'1. Mapa de Riesgos'!$Q$58),"")</f>
        <v/>
      </c>
      <c r="M11" s="11" t="str">
        <f>IF(AND('1. Mapa de Riesgos'!$AA$59="Muy Alta",'1. Mapa de Riesgos'!$AC$59="Leve"),CONCATENATE("R6C",'1. Mapa de Riesgos'!$Q$59),"")</f>
        <v/>
      </c>
      <c r="N11" s="11" t="str">
        <f>IF(AND('1. Mapa de Riesgos'!$AA$60="Muy Alta",'1. Mapa de Riesgos'!$AC$60="Leve"),CONCATENATE("R6C",'1. Mapa de Riesgos'!$Q$60),"")</f>
        <v/>
      </c>
      <c r="O11" s="12" t="str">
        <f>IF(AND('1. Mapa de Riesgos'!$AA$61="Muy Alta",'1. Mapa de Riesgos'!$AC$61="Leve"),CONCATENATE("R6C",'1. Mapa de Riesgos'!$Q$61),"")</f>
        <v/>
      </c>
      <c r="P11" s="10" t="str">
        <f>IF(AND('1. Mapa de Riesgos'!$AA$56="Muy Alta",'1. Mapa de Riesgos'!$AC$56="Menor"),CONCATENATE("R6C",'1. Mapa de Riesgos'!$Q$56),"")</f>
        <v/>
      </c>
      <c r="Q11" s="11" t="str">
        <f>IF(AND('1. Mapa de Riesgos'!$AA$57="Muy Alta",'1. Mapa de Riesgos'!$AC$57="Menor"),CONCATENATE("R6C",'1. Mapa de Riesgos'!$Q$57),"")</f>
        <v/>
      </c>
      <c r="R11" s="11" t="str">
        <f>IF(AND('1. Mapa de Riesgos'!$AA$58="Muy Alta",'1. Mapa de Riesgos'!$AC$58="Menor"),CONCATENATE("R6C",'1. Mapa de Riesgos'!$Q$58),"")</f>
        <v/>
      </c>
      <c r="S11" s="11" t="str">
        <f>IF(AND('1. Mapa de Riesgos'!$AA$59="Muy Alta",'1. Mapa de Riesgos'!$AC$59="Menor"),CONCATENATE("R6C",'1. Mapa de Riesgos'!$Q$59),"")</f>
        <v/>
      </c>
      <c r="T11" s="11" t="str">
        <f>IF(AND('1. Mapa de Riesgos'!$AA$60="Muy Alta",'1. Mapa de Riesgos'!$AC$60="Menor"),CONCATENATE("R6C",'1. Mapa de Riesgos'!$Q$60),"")</f>
        <v/>
      </c>
      <c r="U11" s="12" t="str">
        <f>IF(AND('1. Mapa de Riesgos'!$AA$61="Muy Alta",'1. Mapa de Riesgos'!$AC$61="Menor"),CONCATENATE("R6C",'1. Mapa de Riesgos'!$Q$61),"")</f>
        <v/>
      </c>
      <c r="V11" s="10" t="str">
        <f>IF(AND('1. Mapa de Riesgos'!$AA$56="Muy Alta",'1. Mapa de Riesgos'!$AC$56="Moderado"),CONCATENATE("R6C",'1. Mapa de Riesgos'!$Q$56),"")</f>
        <v/>
      </c>
      <c r="W11" s="11" t="str">
        <f>IF(AND('1. Mapa de Riesgos'!$AA$57="Muy Alta",'1. Mapa de Riesgos'!$AC$57="Moderado"),CONCATENATE("R6C",'1. Mapa de Riesgos'!$Q$57),"")</f>
        <v/>
      </c>
      <c r="X11" s="11" t="str">
        <f>IF(AND('1. Mapa de Riesgos'!$AA$58="Muy Alta",'1. Mapa de Riesgos'!$AC$58="Moderado"),CONCATENATE("R6C",'1. Mapa de Riesgos'!$Q$58),"")</f>
        <v/>
      </c>
      <c r="Y11" s="11" t="str">
        <f>IF(AND('1. Mapa de Riesgos'!$AA$59="Muy Alta",'1. Mapa de Riesgos'!$AC$59="Moderado"),CONCATENATE("R6C",'1. Mapa de Riesgos'!$Q$59),"")</f>
        <v/>
      </c>
      <c r="Z11" s="11" t="str">
        <f>IF(AND('1. Mapa de Riesgos'!$AA$60="Muy Alta",'1. Mapa de Riesgos'!$AC$60="Moderado"),CONCATENATE("R6C",'1. Mapa de Riesgos'!$Q$60),"")</f>
        <v/>
      </c>
      <c r="AA11" s="12" t="str">
        <f>IF(AND('1. Mapa de Riesgos'!$AA$61="Muy Alta",'1. Mapa de Riesgos'!$AC$61="Moderado"),CONCATENATE("R6C",'1. Mapa de Riesgos'!$Q$61),"")</f>
        <v/>
      </c>
      <c r="AB11" s="10" t="str">
        <f>IF(AND('1. Mapa de Riesgos'!$AA$56="Muy Alta",'1. Mapa de Riesgos'!$AC$56="Mayor"),CONCATENATE("R6C",'1. Mapa de Riesgos'!$Q$56),"")</f>
        <v/>
      </c>
      <c r="AC11" s="11" t="str">
        <f>IF(AND('1. Mapa de Riesgos'!$AA$57="Muy Alta",'1. Mapa de Riesgos'!$AC$57="Mayor"),CONCATENATE("R6C",'1. Mapa de Riesgos'!$Q$57),"")</f>
        <v/>
      </c>
      <c r="AD11" s="11" t="str">
        <f>IF(AND('1. Mapa de Riesgos'!$AA$58="Muy Alta",'1. Mapa de Riesgos'!$AC$58="Mayor"),CONCATENATE("R6C",'1. Mapa de Riesgos'!$Q$58),"")</f>
        <v/>
      </c>
      <c r="AE11" s="11" t="str">
        <f>IF(AND('1. Mapa de Riesgos'!$AA$59="Muy Alta",'1. Mapa de Riesgos'!$AC$59="Mayor"),CONCATENATE("R6C",'1. Mapa de Riesgos'!$Q$59),"")</f>
        <v/>
      </c>
      <c r="AF11" s="11" t="str">
        <f>IF(AND('1. Mapa de Riesgos'!$AA$60="Muy Alta",'1. Mapa de Riesgos'!$AC$60="Mayor"),CONCATENATE("R6C",'1. Mapa de Riesgos'!$Q$60),"")</f>
        <v/>
      </c>
      <c r="AG11" s="12" t="str">
        <f>IF(AND('1. Mapa de Riesgos'!$AA$61="Muy Alta",'1. Mapa de Riesgos'!$AC$61="Mayor"),CONCATENATE("R6C",'1. Mapa de Riesgos'!$Q$61),"")</f>
        <v/>
      </c>
      <c r="AH11" s="13" t="str">
        <f>IF(AND('1. Mapa de Riesgos'!$AA$56="Muy Alta",'1. Mapa de Riesgos'!$AC$56="Catastrófico"),CONCATENATE("R6C",'1. Mapa de Riesgos'!$Q$56),"")</f>
        <v/>
      </c>
      <c r="AI11" s="14" t="str">
        <f>IF(AND('1. Mapa de Riesgos'!$AA$57="Muy Alta",'1. Mapa de Riesgos'!$AC$57="Catastrófico"),CONCATENATE("R6C",'1. Mapa de Riesgos'!$Q$57),"")</f>
        <v/>
      </c>
      <c r="AJ11" s="14" t="str">
        <f>IF(AND('1. Mapa de Riesgos'!$AA$58="Muy Alta",'1. Mapa de Riesgos'!$AC$58="Catastrófico"),CONCATENATE("R6C",'1. Mapa de Riesgos'!$Q$58),"")</f>
        <v/>
      </c>
      <c r="AK11" s="14" t="str">
        <f>IF(AND('1. Mapa de Riesgos'!$AA$59="Muy Alta",'1. Mapa de Riesgos'!$AC$59="Catastrófico"),CONCATENATE("R6C",'1. Mapa de Riesgos'!$Q$59),"")</f>
        <v/>
      </c>
      <c r="AL11" s="14" t="str">
        <f>IF(AND('1. Mapa de Riesgos'!$AA$60="Muy Alta",'1. Mapa de Riesgos'!$AC$60="Catastrófico"),CONCATENATE("R6C",'1. Mapa de Riesgos'!$Q$60),"")</f>
        <v/>
      </c>
      <c r="AM11" s="15" t="str">
        <f>IF(AND('1. Mapa de Riesgos'!$AA$61="Muy Alta",'1. Mapa de Riesgos'!$AC$61="Catastrófico"),CONCATENATE("R6C",'1. Mapa de Riesgos'!$Q$61),"")</f>
        <v/>
      </c>
      <c r="AN11" s="41"/>
      <c r="AO11" s="535"/>
      <c r="AP11" s="536"/>
      <c r="AQ11" s="536"/>
      <c r="AR11" s="536"/>
      <c r="AS11" s="536"/>
      <c r="AT11" s="537"/>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row>
    <row r="12" spans="1:91" ht="15" customHeight="1" x14ac:dyDescent="0.25">
      <c r="A12" s="41"/>
      <c r="B12" s="474"/>
      <c r="C12" s="474"/>
      <c r="D12" s="475"/>
      <c r="E12" s="515"/>
      <c r="F12" s="516"/>
      <c r="G12" s="516"/>
      <c r="H12" s="516"/>
      <c r="I12" s="517"/>
      <c r="J12" s="10" t="str">
        <f>IF(AND('1. Mapa de Riesgos'!$AA$26="Muy Alta",'1. Mapa de Riesgos'!$AC$26="Leve"),CONCATENATE("R7C",'1. Mapa de Riesgos'!$Q$26),"")</f>
        <v/>
      </c>
      <c r="K12" s="11" t="str">
        <f>IF(AND('1. Mapa de Riesgos'!$AA$27="Muy Alta",'1. Mapa de Riesgos'!$AC$27="Leve"),CONCATENATE("R7C",'1. Mapa de Riesgos'!$Q$27),"")</f>
        <v/>
      </c>
      <c r="L12" s="11" t="str">
        <f>IF(AND('1. Mapa de Riesgos'!$AA$28="Muy Alta",'1. Mapa de Riesgos'!$AC$28="Leve"),CONCATENATE("R7C",'1. Mapa de Riesgos'!$Q$28),"")</f>
        <v/>
      </c>
      <c r="M12" s="11" t="str">
        <f>IF(AND('1. Mapa de Riesgos'!$AA$29="Muy Alta",'1. Mapa de Riesgos'!$AC$29="Leve"),CONCATENATE("R7C",'1. Mapa de Riesgos'!$Q$29),"")</f>
        <v/>
      </c>
      <c r="N12" s="11" t="str">
        <f>IF(AND('1. Mapa de Riesgos'!$AA$30="Muy Alta",'1. Mapa de Riesgos'!$AC$30="Leve"),CONCATENATE("R7C",'1. Mapa de Riesgos'!$Q$30),"")</f>
        <v/>
      </c>
      <c r="O12" s="12" t="str">
        <f>IF(AND('1. Mapa de Riesgos'!$AA$31="Muy Alta",'1. Mapa de Riesgos'!$AC$31="Leve"),CONCATENATE("R7C",'1. Mapa de Riesgos'!$Q$31),"")</f>
        <v/>
      </c>
      <c r="P12" s="10" t="str">
        <f>IF(AND('1. Mapa de Riesgos'!$AA$26="Muy Alta",'1. Mapa de Riesgos'!$AC$26="Menor"),CONCATENATE("R7C",'1. Mapa de Riesgos'!$Q$26),"")</f>
        <v/>
      </c>
      <c r="Q12" s="11" t="str">
        <f>IF(AND('1. Mapa de Riesgos'!$AA$27="Muy Alta",'1. Mapa de Riesgos'!$AC$27="Menor"),CONCATENATE("R7C",'1. Mapa de Riesgos'!$Q$27),"")</f>
        <v/>
      </c>
      <c r="R12" s="11" t="str">
        <f>IF(AND('1. Mapa de Riesgos'!$AA$28="Muy Alta",'1. Mapa de Riesgos'!$AC$28="Menor"),CONCATENATE("R7C",'1. Mapa de Riesgos'!$Q$28),"")</f>
        <v/>
      </c>
      <c r="S12" s="11" t="str">
        <f>IF(AND('1. Mapa de Riesgos'!$AA$29="Muy Alta",'1. Mapa de Riesgos'!$AC$29="Menor"),CONCATENATE("R7C",'1. Mapa de Riesgos'!$Q$29),"")</f>
        <v/>
      </c>
      <c r="T12" s="11" t="str">
        <f>IF(AND('1. Mapa de Riesgos'!$AA$30="Muy Alta",'1. Mapa de Riesgos'!$AC$30="Menor"),CONCATENATE("R7C",'1. Mapa de Riesgos'!$Q$30),"")</f>
        <v/>
      </c>
      <c r="U12" s="12" t="str">
        <f>IF(AND('1. Mapa de Riesgos'!$AA$31="Muy Alta",'1. Mapa de Riesgos'!$AC$31="Menor"),CONCATENATE("R7C",'1. Mapa de Riesgos'!$Q$31),"")</f>
        <v/>
      </c>
      <c r="V12" s="10" t="str">
        <f>IF(AND('1. Mapa de Riesgos'!$AA$26="Muy Alta",'1. Mapa de Riesgos'!$AC$26="Moderado"),CONCATENATE("R7C",'1. Mapa de Riesgos'!$Q$26),"")</f>
        <v/>
      </c>
      <c r="W12" s="11" t="str">
        <f>IF(AND('1. Mapa de Riesgos'!$AA$27="Muy Alta",'1. Mapa de Riesgos'!$AC$27="Moderado"),CONCATENATE("R7C",'1. Mapa de Riesgos'!$Q$27),"")</f>
        <v/>
      </c>
      <c r="X12" s="11" t="str">
        <f>IF(AND('1. Mapa de Riesgos'!$AA$28="Muy Alta",'1. Mapa de Riesgos'!$AC$28="Moderado"),CONCATENATE("R7C",'1. Mapa de Riesgos'!$Q$28),"")</f>
        <v/>
      </c>
      <c r="Y12" s="11" t="str">
        <f>IF(AND('1. Mapa de Riesgos'!$AA$29="Muy Alta",'1. Mapa de Riesgos'!$AC$29="Moderado"),CONCATENATE("R7C",'1. Mapa de Riesgos'!$Q$29),"")</f>
        <v/>
      </c>
      <c r="Z12" s="11" t="str">
        <f>IF(AND('1. Mapa de Riesgos'!$AA$30="Muy Alta",'1. Mapa de Riesgos'!$AC$30="Moderado"),CONCATENATE("R7C",'1. Mapa de Riesgos'!$Q$30),"")</f>
        <v/>
      </c>
      <c r="AA12" s="12" t="str">
        <f>IF(AND('1. Mapa de Riesgos'!$AA$31="Muy Alta",'1. Mapa de Riesgos'!$AC$31="Moderado"),CONCATENATE("R7C",'1. Mapa de Riesgos'!$Q$31),"")</f>
        <v/>
      </c>
      <c r="AB12" s="10" t="str">
        <f>IF(AND('1. Mapa de Riesgos'!$AA$26="Muy Alta",'1. Mapa de Riesgos'!$AC$26="Mayor"),CONCATENATE("R7C",'1. Mapa de Riesgos'!$Q$26),"")</f>
        <v/>
      </c>
      <c r="AC12" s="11" t="str">
        <f>IF(AND('1. Mapa de Riesgos'!$AA$27="Muy Alta",'1. Mapa de Riesgos'!$AC$27="Mayor"),CONCATENATE("R7C",'1. Mapa de Riesgos'!$Q$27),"")</f>
        <v/>
      </c>
      <c r="AD12" s="11" t="str">
        <f>IF(AND('1. Mapa de Riesgos'!$AA$28="Muy Alta",'1. Mapa de Riesgos'!$AC$28="Mayor"),CONCATENATE("R7C",'1. Mapa de Riesgos'!$Q$28),"")</f>
        <v/>
      </c>
      <c r="AE12" s="11" t="str">
        <f>IF(AND('1. Mapa de Riesgos'!$AA$29="Muy Alta",'1. Mapa de Riesgos'!$AC$29="Mayor"),CONCATENATE("R7C",'1. Mapa de Riesgos'!$Q$29),"")</f>
        <v/>
      </c>
      <c r="AF12" s="11" t="str">
        <f>IF(AND('1. Mapa de Riesgos'!$AA$30="Muy Alta",'1. Mapa de Riesgos'!$AC$30="Mayor"),CONCATENATE("R7C",'1. Mapa de Riesgos'!$Q$30),"")</f>
        <v/>
      </c>
      <c r="AG12" s="12" t="str">
        <f>IF(AND('1. Mapa de Riesgos'!$AA$31="Muy Alta",'1. Mapa de Riesgos'!$AC$31="Mayor"),CONCATENATE("R7C",'1. Mapa de Riesgos'!$Q$31),"")</f>
        <v/>
      </c>
      <c r="AH12" s="13" t="str">
        <f>IF(AND('1. Mapa de Riesgos'!$AA$26="Muy Alta",'1. Mapa de Riesgos'!$AC$26="Catastrófico"),CONCATENATE("R7C",'1. Mapa de Riesgos'!$Q$26),"")</f>
        <v/>
      </c>
      <c r="AI12" s="14" t="str">
        <f>IF(AND('1. Mapa de Riesgos'!$AA$27="Muy Alta",'1. Mapa de Riesgos'!$AC$27="Catastrófico"),CONCATENATE("R7C",'1. Mapa de Riesgos'!$Q$27),"")</f>
        <v/>
      </c>
      <c r="AJ12" s="14" t="str">
        <f>IF(AND('1. Mapa de Riesgos'!$AA$28="Muy Alta",'1. Mapa de Riesgos'!$AC$28="Catastrófico"),CONCATENATE("R7C",'1. Mapa de Riesgos'!$Q$28),"")</f>
        <v/>
      </c>
      <c r="AK12" s="14" t="str">
        <f>IF(AND('1. Mapa de Riesgos'!$AA$29="Muy Alta",'1. Mapa de Riesgos'!$AC$29="Catastrófico"),CONCATENATE("R7C",'1. Mapa de Riesgos'!$Q$29),"")</f>
        <v/>
      </c>
      <c r="AL12" s="14" t="str">
        <f>IF(AND('1. Mapa de Riesgos'!$AA$30="Muy Alta",'1. Mapa de Riesgos'!$AC$30="Catastrófico"),CONCATENATE("R7C",'1. Mapa de Riesgos'!$Q$30),"")</f>
        <v/>
      </c>
      <c r="AM12" s="15" t="str">
        <f>IF(AND('1. Mapa de Riesgos'!$AA$31="Muy Alta",'1. Mapa de Riesgos'!$AC$31="Catastrófico"),CONCATENATE("R7C",'1. Mapa de Riesgos'!$Q$31),"")</f>
        <v/>
      </c>
      <c r="AN12" s="41"/>
      <c r="AO12" s="535"/>
      <c r="AP12" s="536"/>
      <c r="AQ12" s="536"/>
      <c r="AR12" s="536"/>
      <c r="AS12" s="536"/>
      <c r="AT12" s="537"/>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row>
    <row r="13" spans="1:91" ht="15" customHeight="1" x14ac:dyDescent="0.25">
      <c r="A13" s="41"/>
      <c r="B13" s="474"/>
      <c r="C13" s="474"/>
      <c r="D13" s="475"/>
      <c r="E13" s="515"/>
      <c r="F13" s="516"/>
      <c r="G13" s="516"/>
      <c r="H13" s="516"/>
      <c r="I13" s="517"/>
      <c r="J13" s="10" t="str">
        <f>IF(AND('1. Mapa de Riesgos'!$AA$20="Muy Alta",'1. Mapa de Riesgos'!$AC$20="Leve"),CONCATENATE("R8C",'1. Mapa de Riesgos'!$Q$20),"")</f>
        <v/>
      </c>
      <c r="K13" s="11" t="str">
        <f>IF(AND('1. Mapa de Riesgos'!$AA$21="Muy Alta",'1. Mapa de Riesgos'!$AC$21="Leve"),CONCATENATE("R8C",'1. Mapa de Riesgos'!$Q$21),"")</f>
        <v/>
      </c>
      <c r="L13" s="11" t="str">
        <f>IF(AND('1. Mapa de Riesgos'!$AA$22="Muy Alta",'1. Mapa de Riesgos'!$AC$22="Leve"),CONCATENATE("R8C",'1. Mapa de Riesgos'!$Q$22),"")</f>
        <v/>
      </c>
      <c r="M13" s="11" t="str">
        <f>IF(AND('1. Mapa de Riesgos'!$AA$23="Muy Alta",'1. Mapa de Riesgos'!$AC$23="Leve"),CONCATENATE("R8C",'1. Mapa de Riesgos'!$Q$23),"")</f>
        <v/>
      </c>
      <c r="N13" s="11" t="str">
        <f>IF(AND('1. Mapa de Riesgos'!$AA$24="Muy Alta",'1. Mapa de Riesgos'!$AC$24="Leve"),CONCATENATE("R8C",'1. Mapa de Riesgos'!$Q$24),"")</f>
        <v/>
      </c>
      <c r="O13" s="12" t="str">
        <f>IF(AND('1. Mapa de Riesgos'!$AA$25="Muy Alta",'1. Mapa de Riesgos'!$AC$25="Leve"),CONCATENATE("R8C",'1. Mapa de Riesgos'!$Q$25),"")</f>
        <v/>
      </c>
      <c r="P13" s="10" t="str">
        <f>IF(AND('1. Mapa de Riesgos'!$AA$20="Muy Alta",'1. Mapa de Riesgos'!$AC$20="Menor"),CONCATENATE("R8C",'1. Mapa de Riesgos'!$Q$20),"")</f>
        <v/>
      </c>
      <c r="Q13" s="11" t="str">
        <f>IF(AND('1. Mapa de Riesgos'!$AA$21="Muy Alta",'1. Mapa de Riesgos'!$AC$21="Menor"),CONCATENATE("R8C",'1. Mapa de Riesgos'!$Q$21),"")</f>
        <v/>
      </c>
      <c r="R13" s="11" t="str">
        <f>IF(AND('1. Mapa de Riesgos'!$AA$22="Muy Alta",'1. Mapa de Riesgos'!$AC$22="Menor"),CONCATENATE("R8C",'1. Mapa de Riesgos'!$Q$22),"")</f>
        <v/>
      </c>
      <c r="S13" s="11" t="str">
        <f>IF(AND('1. Mapa de Riesgos'!$AA$23="Muy Alta",'1. Mapa de Riesgos'!$AC$23="Menor"),CONCATENATE("R8C",'1. Mapa de Riesgos'!$Q$23),"")</f>
        <v/>
      </c>
      <c r="T13" s="11" t="str">
        <f>IF(AND('1. Mapa de Riesgos'!$AA$24="Muy Alta",'1. Mapa de Riesgos'!$AC$24="Menor"),CONCATENATE("R8C",'1. Mapa de Riesgos'!$Q$24),"")</f>
        <v/>
      </c>
      <c r="U13" s="12" t="str">
        <f>IF(AND('1. Mapa de Riesgos'!$AA$25="Muy Alta",'1. Mapa de Riesgos'!$AC$25="Menor"),CONCATENATE("R8C",'1. Mapa de Riesgos'!$Q$25),"")</f>
        <v/>
      </c>
      <c r="V13" s="10" t="str">
        <f>IF(AND('1. Mapa de Riesgos'!$AA$20="Muy Alta",'1. Mapa de Riesgos'!$AC$20="Moderado"),CONCATENATE("R8C",'1. Mapa de Riesgos'!$Q$20),"")</f>
        <v/>
      </c>
      <c r="W13" s="11" t="str">
        <f>IF(AND('1. Mapa de Riesgos'!$AA$21="Muy Alta",'1. Mapa de Riesgos'!$AC$21="Moderado"),CONCATENATE("R8C",'1. Mapa de Riesgos'!$Q$21),"")</f>
        <v/>
      </c>
      <c r="X13" s="11" t="str">
        <f>IF(AND('1. Mapa de Riesgos'!$AA$22="Muy Alta",'1. Mapa de Riesgos'!$AC$22="Moderado"),CONCATENATE("R8C",'1. Mapa de Riesgos'!$Q$22),"")</f>
        <v/>
      </c>
      <c r="Y13" s="11" t="str">
        <f>IF(AND('1. Mapa de Riesgos'!$AA$23="Muy Alta",'1. Mapa de Riesgos'!$AC$23="Moderado"),CONCATENATE("R8C",'1. Mapa de Riesgos'!$Q$23),"")</f>
        <v/>
      </c>
      <c r="Z13" s="11" t="str">
        <f>IF(AND('1. Mapa de Riesgos'!$AA$24="Muy Alta",'1. Mapa de Riesgos'!$AC$24="Moderado"),CONCATENATE("R8C",'1. Mapa de Riesgos'!$Q$24),"")</f>
        <v/>
      </c>
      <c r="AA13" s="12" t="str">
        <f>IF(AND('1. Mapa de Riesgos'!$AA$25="Muy Alta",'1. Mapa de Riesgos'!$AC$25="Moderado"),CONCATENATE("R8C",'1. Mapa de Riesgos'!$Q$25),"")</f>
        <v/>
      </c>
      <c r="AB13" s="10" t="str">
        <f>IF(AND('1. Mapa de Riesgos'!$AA$20="Muy Alta",'1. Mapa de Riesgos'!$AC$20="Mayor"),CONCATENATE("R8C",'1. Mapa de Riesgos'!$Q$20),"")</f>
        <v/>
      </c>
      <c r="AC13" s="11" t="str">
        <f>IF(AND('1. Mapa de Riesgos'!$AA$21="Muy Alta",'1. Mapa de Riesgos'!$AC$21="Mayor"),CONCATENATE("R8C",'1. Mapa de Riesgos'!$Q$21),"")</f>
        <v/>
      </c>
      <c r="AD13" s="11" t="str">
        <f>IF(AND('1. Mapa de Riesgos'!$AA$22="Muy Alta",'1. Mapa de Riesgos'!$AC$22="Mayor"),CONCATENATE("R8C",'1. Mapa de Riesgos'!$Q$22),"")</f>
        <v/>
      </c>
      <c r="AE13" s="11" t="str">
        <f>IF(AND('1. Mapa de Riesgos'!$AA$23="Muy Alta",'1. Mapa de Riesgos'!$AC$23="Mayor"),CONCATENATE("R8C",'1. Mapa de Riesgos'!$Q$23),"")</f>
        <v/>
      </c>
      <c r="AF13" s="11" t="str">
        <f>IF(AND('1. Mapa de Riesgos'!$AA$24="Muy Alta",'1. Mapa de Riesgos'!$AC$24="Mayor"),CONCATENATE("R8C",'1. Mapa de Riesgos'!$Q$24),"")</f>
        <v/>
      </c>
      <c r="AG13" s="12" t="str">
        <f>IF(AND('1. Mapa de Riesgos'!$AA$25="Muy Alta",'1. Mapa de Riesgos'!$AC$25="Mayor"),CONCATENATE("R8C",'1. Mapa de Riesgos'!$Q$25),"")</f>
        <v/>
      </c>
      <c r="AH13" s="13" t="str">
        <f>IF(AND('1. Mapa de Riesgos'!$AA$20="Muy Alta",'1. Mapa de Riesgos'!$AC$20="Catastrófico"),CONCATENATE("R8C",'1. Mapa de Riesgos'!$Q$20),"")</f>
        <v/>
      </c>
      <c r="AI13" s="14" t="str">
        <f>IF(AND('1. Mapa de Riesgos'!$AA$21="Muy Alta",'1. Mapa de Riesgos'!$AC$21="Catastrófico"),CONCATENATE("R8C",'1. Mapa de Riesgos'!$Q$21),"")</f>
        <v/>
      </c>
      <c r="AJ13" s="14" t="str">
        <f>IF(AND('1. Mapa de Riesgos'!$AA$22="Muy Alta",'1. Mapa de Riesgos'!$AC$22="Catastrófico"),CONCATENATE("R8C",'1. Mapa de Riesgos'!$Q$22),"")</f>
        <v/>
      </c>
      <c r="AK13" s="14" t="str">
        <f>IF(AND('1. Mapa de Riesgos'!$AA$23="Muy Alta",'1. Mapa de Riesgos'!$AC$23="Catastrófico"),CONCATENATE("R8C",'1. Mapa de Riesgos'!$Q$23),"")</f>
        <v/>
      </c>
      <c r="AL13" s="14" t="str">
        <f>IF(AND('1. Mapa de Riesgos'!$AA$24="Muy Alta",'1. Mapa de Riesgos'!$AC$24="Catastrófico"),CONCATENATE("R8C",'1. Mapa de Riesgos'!$Q$24),"")</f>
        <v/>
      </c>
      <c r="AM13" s="15" t="str">
        <f>IF(AND('1. Mapa de Riesgos'!$AA$25="Muy Alta",'1. Mapa de Riesgos'!$AC$25="Catastrófico"),CONCATENATE("R8C",'1. Mapa de Riesgos'!$Q$25),"")</f>
        <v/>
      </c>
      <c r="AN13" s="41"/>
      <c r="AO13" s="535"/>
      <c r="AP13" s="536"/>
      <c r="AQ13" s="536"/>
      <c r="AR13" s="536"/>
      <c r="AS13" s="536"/>
      <c r="AT13" s="537"/>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row>
    <row r="14" spans="1:91" ht="15" customHeight="1" x14ac:dyDescent="0.25">
      <c r="A14" s="41"/>
      <c r="B14" s="474"/>
      <c r="C14" s="474"/>
      <c r="D14" s="475"/>
      <c r="E14" s="515"/>
      <c r="F14" s="516"/>
      <c r="G14" s="516"/>
      <c r="H14" s="516"/>
      <c r="I14" s="517"/>
      <c r="J14" s="10" t="str">
        <f>IF(AND('1. Mapa de Riesgos'!$AA$62="Muy Alta",'1. Mapa de Riesgos'!$AC$62="Leve"),CONCATENATE("R9C",'1. Mapa de Riesgos'!$Q$62),"")</f>
        <v/>
      </c>
      <c r="K14" s="11" t="str">
        <f>IF(AND('1. Mapa de Riesgos'!$AA$63="Muy Alta",'1. Mapa de Riesgos'!$AC$63="Leve"),CONCATENATE("R9C",'1. Mapa de Riesgos'!$Q$63),"")</f>
        <v/>
      </c>
      <c r="L14" s="11" t="str">
        <f>IF(AND('1. Mapa de Riesgos'!$AA$64="Muy Alta",'1. Mapa de Riesgos'!$AC$64="Leve"),CONCATENATE("R9C",'1. Mapa de Riesgos'!$Q$64),"")</f>
        <v/>
      </c>
      <c r="M14" s="11" t="str">
        <f>IF(AND('1. Mapa de Riesgos'!$AA$65="Muy Alta",'1. Mapa de Riesgos'!$AC$65="Leve"),CONCATENATE("R9C",'1. Mapa de Riesgos'!$Q$65),"")</f>
        <v/>
      </c>
      <c r="N14" s="11" t="str">
        <f>IF(AND('1. Mapa de Riesgos'!$AA$66="Muy Alta",'1. Mapa de Riesgos'!$AC$66="Leve"),CONCATENATE("R9C",'1. Mapa de Riesgos'!$Q$66),"")</f>
        <v/>
      </c>
      <c r="O14" s="12" t="str">
        <f>IF(AND('1. Mapa de Riesgos'!$AA$67="Muy Alta",'1. Mapa de Riesgos'!$AC$67="Leve"),CONCATENATE("R9C",'1. Mapa de Riesgos'!$Q$67),"")</f>
        <v/>
      </c>
      <c r="P14" s="10" t="str">
        <f>IF(AND('1. Mapa de Riesgos'!$AA$62="Muy Alta",'1. Mapa de Riesgos'!$AC$62="Menor"),CONCATENATE("R9C",'1. Mapa de Riesgos'!$Q$62),"")</f>
        <v/>
      </c>
      <c r="Q14" s="11" t="str">
        <f>IF(AND('1. Mapa de Riesgos'!$AA$63="Muy Alta",'1. Mapa de Riesgos'!$AC$63="Menor"),CONCATENATE("R9C",'1. Mapa de Riesgos'!$Q$63),"")</f>
        <v/>
      </c>
      <c r="R14" s="11" t="str">
        <f>IF(AND('1. Mapa de Riesgos'!$AA$64="Muy Alta",'1. Mapa de Riesgos'!$AC$64="Menor"),CONCATENATE("R9C",'1. Mapa de Riesgos'!$Q$64),"")</f>
        <v/>
      </c>
      <c r="S14" s="11" t="str">
        <f>IF(AND('1. Mapa de Riesgos'!$AA$65="Muy Alta",'1. Mapa de Riesgos'!$AC$65="Menor"),CONCATENATE("R9C",'1. Mapa de Riesgos'!$Q$65),"")</f>
        <v/>
      </c>
      <c r="T14" s="11" t="str">
        <f>IF(AND('1. Mapa de Riesgos'!$AA$66="Muy Alta",'1. Mapa de Riesgos'!$AC$66="Menor"),CONCATENATE("R9C",'1. Mapa de Riesgos'!$Q$66),"")</f>
        <v/>
      </c>
      <c r="U14" s="12" t="str">
        <f>IF(AND('1. Mapa de Riesgos'!$AA$67="Muy Alta",'1. Mapa de Riesgos'!$AC$67="Menor"),CONCATENATE("R9C",'1. Mapa de Riesgos'!$Q$67),"")</f>
        <v/>
      </c>
      <c r="V14" s="10" t="str">
        <f>IF(AND('1. Mapa de Riesgos'!$AA$62="Muy Alta",'1. Mapa de Riesgos'!$AC$62="Moderado"),CONCATENATE("R9C",'1. Mapa de Riesgos'!$Q$62),"")</f>
        <v/>
      </c>
      <c r="W14" s="11" t="str">
        <f>IF(AND('1. Mapa de Riesgos'!$AA$63="Muy Alta",'1. Mapa de Riesgos'!$AC$63="Moderado"),CONCATENATE("R9C",'1. Mapa de Riesgos'!$Q$63),"")</f>
        <v/>
      </c>
      <c r="X14" s="11" t="str">
        <f>IF(AND('1. Mapa de Riesgos'!$AA$64="Muy Alta",'1. Mapa de Riesgos'!$AC$64="Moderado"),CONCATENATE("R9C",'1. Mapa de Riesgos'!$Q$64),"")</f>
        <v/>
      </c>
      <c r="Y14" s="11" t="str">
        <f>IF(AND('1. Mapa de Riesgos'!$AA$65="Muy Alta",'1. Mapa de Riesgos'!$AC$65="Moderado"),CONCATENATE("R9C",'1. Mapa de Riesgos'!$Q$65),"")</f>
        <v/>
      </c>
      <c r="Z14" s="11" t="str">
        <f>IF(AND('1. Mapa de Riesgos'!$AA$66="Muy Alta",'1. Mapa de Riesgos'!$AC$66="Moderado"),CONCATENATE("R9C",'1. Mapa de Riesgos'!$Q$66),"")</f>
        <v/>
      </c>
      <c r="AA14" s="12" t="str">
        <f>IF(AND('1. Mapa de Riesgos'!$AA$67="Muy Alta",'1. Mapa de Riesgos'!$AC$67="Moderado"),CONCATENATE("R9C",'1. Mapa de Riesgos'!$Q$67),"")</f>
        <v/>
      </c>
      <c r="AB14" s="10" t="str">
        <f>IF(AND('1. Mapa de Riesgos'!$AA$62="Muy Alta",'1. Mapa de Riesgos'!$AC$62="Mayor"),CONCATENATE("R9C",'1. Mapa de Riesgos'!$Q$62),"")</f>
        <v/>
      </c>
      <c r="AC14" s="11" t="str">
        <f>IF(AND('1. Mapa de Riesgos'!$AA$63="Muy Alta",'1. Mapa de Riesgos'!$AC$63="Mayor"),CONCATENATE("R9C",'1. Mapa de Riesgos'!$Q$63),"")</f>
        <v/>
      </c>
      <c r="AD14" s="11" t="str">
        <f>IF(AND('1. Mapa de Riesgos'!$AA$64="Muy Alta",'1. Mapa de Riesgos'!$AC$64="Mayor"),CONCATENATE("R9C",'1. Mapa de Riesgos'!$Q$64),"")</f>
        <v/>
      </c>
      <c r="AE14" s="11" t="str">
        <f>IF(AND('1. Mapa de Riesgos'!$AA$65="Muy Alta",'1. Mapa de Riesgos'!$AC$65="Mayor"),CONCATENATE("R9C",'1. Mapa de Riesgos'!$Q$65),"")</f>
        <v/>
      </c>
      <c r="AF14" s="11" t="str">
        <f>IF(AND('1. Mapa de Riesgos'!$AA$66="Muy Alta",'1. Mapa de Riesgos'!$AC$66="Mayor"),CONCATENATE("R9C",'1. Mapa de Riesgos'!$Q$66),"")</f>
        <v/>
      </c>
      <c r="AG14" s="12" t="str">
        <f>IF(AND('1. Mapa de Riesgos'!$AA$67="Muy Alta",'1. Mapa de Riesgos'!$AC$67="Mayor"),CONCATENATE("R9C",'1. Mapa de Riesgos'!$Q$67),"")</f>
        <v/>
      </c>
      <c r="AH14" s="13" t="str">
        <f>IF(AND('1. Mapa de Riesgos'!$AA$62="Muy Alta",'1. Mapa de Riesgos'!$AC$62="Catastrófico"),CONCATENATE("R9C",'1. Mapa de Riesgos'!$Q$62),"")</f>
        <v/>
      </c>
      <c r="AI14" s="14" t="str">
        <f>IF(AND('1. Mapa de Riesgos'!$AA$63="Muy Alta",'1. Mapa de Riesgos'!$AC$63="Catastrófico"),CONCATENATE("R9C",'1. Mapa de Riesgos'!$Q$63),"")</f>
        <v/>
      </c>
      <c r="AJ14" s="14" t="str">
        <f>IF(AND('1. Mapa de Riesgos'!$AA$64="Muy Alta",'1. Mapa de Riesgos'!$AC$64="Catastrófico"),CONCATENATE("R9C",'1. Mapa de Riesgos'!$Q$64),"")</f>
        <v/>
      </c>
      <c r="AK14" s="14" t="str">
        <f>IF(AND('1. Mapa de Riesgos'!$AA$65="Muy Alta",'1. Mapa de Riesgos'!$AC$65="Catastrófico"),CONCATENATE("R9C",'1. Mapa de Riesgos'!$Q$65),"")</f>
        <v/>
      </c>
      <c r="AL14" s="14" t="str">
        <f>IF(AND('1. Mapa de Riesgos'!$AA$66="Muy Alta",'1. Mapa de Riesgos'!$AC$66="Catastrófico"),CONCATENATE("R9C",'1. Mapa de Riesgos'!$Q$66),"")</f>
        <v/>
      </c>
      <c r="AM14" s="15" t="str">
        <f>IF(AND('1. Mapa de Riesgos'!$AA$67="Muy Alta",'1. Mapa de Riesgos'!$AC$67="Catastrófico"),CONCATENATE("R9C",'1. Mapa de Riesgos'!$Q$67),"")</f>
        <v/>
      </c>
      <c r="AN14" s="41"/>
      <c r="AO14" s="535"/>
      <c r="AP14" s="536"/>
      <c r="AQ14" s="536"/>
      <c r="AR14" s="536"/>
      <c r="AS14" s="536"/>
      <c r="AT14" s="537"/>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row>
    <row r="15" spans="1:91" ht="15.75" customHeight="1" thickBot="1" x14ac:dyDescent="0.3">
      <c r="A15" s="41"/>
      <c r="B15" s="474"/>
      <c r="C15" s="474"/>
      <c r="D15" s="475"/>
      <c r="E15" s="518"/>
      <c r="F15" s="519"/>
      <c r="G15" s="519"/>
      <c r="H15" s="519"/>
      <c r="I15" s="520"/>
      <c r="J15" s="16" t="str">
        <f>IF(AND('1. Mapa de Riesgos'!$AA$68="Muy Alta",'1. Mapa de Riesgos'!$AC$68="Leve"),CONCATENATE("R10C",'1. Mapa de Riesgos'!$Q$68),"")</f>
        <v/>
      </c>
      <c r="K15" s="17" t="str">
        <f>IF(AND('1. Mapa de Riesgos'!$AA$69="Muy Alta",'1. Mapa de Riesgos'!$AC$69="Leve"),CONCATENATE("R10C",'1. Mapa de Riesgos'!$Q$69),"")</f>
        <v/>
      </c>
      <c r="L15" s="17" t="str">
        <f>IF(AND('1. Mapa de Riesgos'!$AA$70="Muy Alta",'1. Mapa de Riesgos'!$AC$70="Leve"),CONCATENATE("R10C",'1. Mapa de Riesgos'!$Q$70),"")</f>
        <v/>
      </c>
      <c r="M15" s="17" t="str">
        <f>IF(AND('1. Mapa de Riesgos'!$AA$71="Muy Alta",'1. Mapa de Riesgos'!$AC$71="Leve"),CONCATENATE("R10C",'1. Mapa de Riesgos'!$Q$71),"")</f>
        <v/>
      </c>
      <c r="N15" s="17" t="str">
        <f>IF(AND('1. Mapa de Riesgos'!$AA$72="Muy Alta",'1. Mapa de Riesgos'!$AC$72="Leve"),CONCATENATE("R10C",'1. Mapa de Riesgos'!$Q$72),"")</f>
        <v/>
      </c>
      <c r="O15" s="18" t="str">
        <f>IF(AND('1. Mapa de Riesgos'!$AA$73="Muy Alta",'1. Mapa de Riesgos'!$AC$73="Leve"),CONCATENATE("R10C",'1. Mapa de Riesgos'!$Q$73),"")</f>
        <v/>
      </c>
      <c r="P15" s="10" t="str">
        <f>IF(AND('1. Mapa de Riesgos'!$AA$68="Muy Alta",'1. Mapa de Riesgos'!$AC$68="Menor"),CONCATENATE("R10C",'1. Mapa de Riesgos'!$Q$68),"")</f>
        <v/>
      </c>
      <c r="Q15" s="11" t="str">
        <f>IF(AND('1. Mapa de Riesgos'!$AA$69="Muy Alta",'1. Mapa de Riesgos'!$AC$69="Menor"),CONCATENATE("R10C",'1. Mapa de Riesgos'!$Q$69),"")</f>
        <v/>
      </c>
      <c r="R15" s="11" t="str">
        <f>IF(AND('1. Mapa de Riesgos'!$AA$70="Muy Alta",'1. Mapa de Riesgos'!$AC$70="Menor"),CONCATENATE("R10C",'1. Mapa de Riesgos'!$Q$70),"")</f>
        <v/>
      </c>
      <c r="S15" s="11" t="str">
        <f>IF(AND('1. Mapa de Riesgos'!$AA$71="Muy Alta",'1. Mapa de Riesgos'!$AC$71="Menor"),CONCATENATE("R10C",'1. Mapa de Riesgos'!$Q$71),"")</f>
        <v/>
      </c>
      <c r="T15" s="11" t="str">
        <f>IF(AND('1. Mapa de Riesgos'!$AA$72="Muy Alta",'1. Mapa de Riesgos'!$AC$72="Menor"),CONCATENATE("R10C",'1. Mapa de Riesgos'!$Q$72),"")</f>
        <v/>
      </c>
      <c r="U15" s="12" t="str">
        <f>IF(AND('1. Mapa de Riesgos'!$AA$73="Muy Alta",'1. Mapa de Riesgos'!$AC$73="Menor"),CONCATENATE("R10C",'1. Mapa de Riesgos'!$Q$73),"")</f>
        <v/>
      </c>
      <c r="V15" s="16" t="str">
        <f>IF(AND('1. Mapa de Riesgos'!$AA$68="Muy Alta",'1. Mapa de Riesgos'!$AC$68="Moderado"),CONCATENATE("R10C",'1. Mapa de Riesgos'!$Q$68),"")</f>
        <v/>
      </c>
      <c r="W15" s="17" t="str">
        <f>IF(AND('1. Mapa de Riesgos'!$AA$69="Muy Alta",'1. Mapa de Riesgos'!$AC$69="Moderado"),CONCATENATE("R10C",'1. Mapa de Riesgos'!$Q$69),"")</f>
        <v/>
      </c>
      <c r="X15" s="17" t="str">
        <f>IF(AND('1. Mapa de Riesgos'!$AA$70="Muy Alta",'1. Mapa de Riesgos'!$AC$70="Moderado"),CONCATENATE("R10C",'1. Mapa de Riesgos'!$Q$70),"")</f>
        <v/>
      </c>
      <c r="Y15" s="17" t="str">
        <f>IF(AND('1. Mapa de Riesgos'!$AA$71="Muy Alta",'1. Mapa de Riesgos'!$AC$71="Moderado"),CONCATENATE("R10C",'1. Mapa de Riesgos'!$Q$71),"")</f>
        <v/>
      </c>
      <c r="Z15" s="17" t="str">
        <f>IF(AND('1. Mapa de Riesgos'!$AA$72="Muy Alta",'1. Mapa de Riesgos'!$AC$72="Moderado"),CONCATENATE("R10C",'1. Mapa de Riesgos'!$Q$72),"")</f>
        <v/>
      </c>
      <c r="AA15" s="18" t="str">
        <f>IF(AND('1. Mapa de Riesgos'!$AA$73="Muy Alta",'1. Mapa de Riesgos'!$AC$73="Moderado"),CONCATENATE("R10C",'1. Mapa de Riesgos'!$Q$73),"")</f>
        <v/>
      </c>
      <c r="AB15" s="10" t="str">
        <f>IF(AND('1. Mapa de Riesgos'!$AA$68="Muy Alta",'1. Mapa de Riesgos'!$AC$68="Mayor"),CONCATENATE("R10C",'1. Mapa de Riesgos'!$Q$68),"")</f>
        <v/>
      </c>
      <c r="AC15" s="11" t="str">
        <f>IF(AND('1. Mapa de Riesgos'!$AA$69="Muy Alta",'1. Mapa de Riesgos'!$AC$69="Mayor"),CONCATENATE("R10C",'1. Mapa de Riesgos'!$Q$69),"")</f>
        <v/>
      </c>
      <c r="AD15" s="11" t="str">
        <f>IF(AND('1. Mapa de Riesgos'!$AA$70="Muy Alta",'1. Mapa de Riesgos'!$AC$70="Mayor"),CONCATENATE("R10C",'1. Mapa de Riesgos'!$Q$70),"")</f>
        <v/>
      </c>
      <c r="AE15" s="11" t="str">
        <f>IF(AND('1. Mapa de Riesgos'!$AA$71="Muy Alta",'1. Mapa de Riesgos'!$AC$71="Mayor"),CONCATENATE("R10C",'1. Mapa de Riesgos'!$Q$71),"")</f>
        <v/>
      </c>
      <c r="AF15" s="11" t="str">
        <f>IF(AND('1. Mapa de Riesgos'!$AA$72="Muy Alta",'1. Mapa de Riesgos'!$AC$72="Mayor"),CONCATENATE("R10C",'1. Mapa de Riesgos'!$Q$72),"")</f>
        <v/>
      </c>
      <c r="AG15" s="12" t="str">
        <f>IF(AND('1. Mapa de Riesgos'!$AA$73="Muy Alta",'1. Mapa de Riesgos'!$AC$73="Mayor"),CONCATENATE("R10C",'1. Mapa de Riesgos'!$Q$73),"")</f>
        <v/>
      </c>
      <c r="AH15" s="19" t="str">
        <f>IF(AND('1. Mapa de Riesgos'!$AA$68="Muy Alta",'1. Mapa de Riesgos'!$AC$68="Catastrófico"),CONCATENATE("R10C",'1. Mapa de Riesgos'!$Q$68),"")</f>
        <v/>
      </c>
      <c r="AI15" s="20" t="str">
        <f>IF(AND('1. Mapa de Riesgos'!$AA$69="Muy Alta",'1. Mapa de Riesgos'!$AC$69="Catastrófico"),CONCATENATE("R10C",'1. Mapa de Riesgos'!$Q$69),"")</f>
        <v/>
      </c>
      <c r="AJ15" s="20" t="str">
        <f>IF(AND('1. Mapa de Riesgos'!$AA$70="Muy Alta",'1. Mapa de Riesgos'!$AC$70="Catastrófico"),CONCATENATE("R10C",'1. Mapa de Riesgos'!$Q$70),"")</f>
        <v/>
      </c>
      <c r="AK15" s="20" t="str">
        <f>IF(AND('1. Mapa de Riesgos'!$AA$71="Muy Alta",'1. Mapa de Riesgos'!$AC$71="Catastrófico"),CONCATENATE("R10C",'1. Mapa de Riesgos'!$Q$71),"")</f>
        <v/>
      </c>
      <c r="AL15" s="20" t="str">
        <f>IF(AND('1. Mapa de Riesgos'!$AA$72="Muy Alta",'1. Mapa de Riesgos'!$AC$72="Catastrófico"),CONCATENATE("R10C",'1. Mapa de Riesgos'!$Q$72),"")</f>
        <v/>
      </c>
      <c r="AM15" s="21" t="str">
        <f>IF(AND('1. Mapa de Riesgos'!$AA$73="Muy Alta",'1. Mapa de Riesgos'!$AC$73="Catastrófico"),CONCATENATE("R10C",'1. Mapa de Riesgos'!$Q$73),"")</f>
        <v/>
      </c>
      <c r="AN15" s="41"/>
      <c r="AO15" s="538"/>
      <c r="AP15" s="539"/>
      <c r="AQ15" s="539"/>
      <c r="AR15" s="539"/>
      <c r="AS15" s="539"/>
      <c r="AT15" s="540"/>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row>
    <row r="16" spans="1:91" ht="15" customHeight="1" x14ac:dyDescent="0.25">
      <c r="A16" s="41"/>
      <c r="B16" s="474"/>
      <c r="C16" s="474"/>
      <c r="D16" s="475"/>
      <c r="E16" s="512" t="s">
        <v>113</v>
      </c>
      <c r="F16" s="513"/>
      <c r="G16" s="513"/>
      <c r="H16" s="513"/>
      <c r="I16" s="513"/>
      <c r="J16" s="22" t="str">
        <f>IF(AND('1. Mapa de Riesgos'!$AA$14="Alta",'1. Mapa de Riesgos'!$AC$14="Leve"),CONCATENATE("R1C",'1. Mapa de Riesgos'!$Q$14),"")</f>
        <v/>
      </c>
      <c r="K16" s="23" t="str">
        <f>IF(AND('1. Mapa de Riesgos'!$AA$15="Alta",'1. Mapa de Riesgos'!$AC$15="Leve"),CONCATENATE("R1C",'1. Mapa de Riesgos'!$Q$15),"")</f>
        <v/>
      </c>
      <c r="L16" s="23" t="str">
        <f>IF(AND('1. Mapa de Riesgos'!$AA$16="Alta",'1. Mapa de Riesgos'!$AC$16="Leve"),CONCATENATE("R1C",'1. Mapa de Riesgos'!$Q$16),"")</f>
        <v/>
      </c>
      <c r="M16" s="23" t="str">
        <f>IF(AND('1. Mapa de Riesgos'!$AA$17="Alta",'1. Mapa de Riesgos'!$AC$17="Leve"),CONCATENATE("R1C",'1. Mapa de Riesgos'!$Q$17),"")</f>
        <v/>
      </c>
      <c r="N16" s="23" t="str">
        <f>IF(AND('1. Mapa de Riesgos'!$AA$18="Alta",'1. Mapa de Riesgos'!$AC$18="Leve"),CONCATENATE("R1C",'1. Mapa de Riesgos'!$Q$18),"")</f>
        <v/>
      </c>
      <c r="O16" s="24" t="str">
        <f>IF(AND('1. Mapa de Riesgos'!$AA$19="Alta",'1. Mapa de Riesgos'!$AC$19="Leve"),CONCATENATE("R1C",'1. Mapa de Riesgos'!$Q$19),"")</f>
        <v/>
      </c>
      <c r="P16" s="22" t="str">
        <f>IF(AND('1. Mapa de Riesgos'!$AA$14="Alta",'1. Mapa de Riesgos'!$AC$14="Menor"),CONCATENATE("R1C",'1. Mapa de Riesgos'!$Q$14),"")</f>
        <v/>
      </c>
      <c r="Q16" s="23" t="str">
        <f>IF(AND('1. Mapa de Riesgos'!$AA$15="Alta",'1. Mapa de Riesgos'!$AC$15="Menor"),CONCATENATE("R1C",'1. Mapa de Riesgos'!$Q$15),"")</f>
        <v/>
      </c>
      <c r="R16" s="23" t="str">
        <f>IF(AND('1. Mapa de Riesgos'!$AA$16="Alta",'1. Mapa de Riesgos'!$AC$16="Menor"),CONCATENATE("R1C",'1. Mapa de Riesgos'!$Q$16),"")</f>
        <v/>
      </c>
      <c r="S16" s="23" t="str">
        <f>IF(AND('1. Mapa de Riesgos'!$AA$17="Alta",'1. Mapa de Riesgos'!$AC$17="Menor"),CONCATENATE("R1C",'1. Mapa de Riesgos'!$Q$17),"")</f>
        <v/>
      </c>
      <c r="T16" s="23" t="str">
        <f>IF(AND('1. Mapa de Riesgos'!$AA$18="Alta",'1. Mapa de Riesgos'!$AC$18="Menor"),CONCATENATE("R1C",'1. Mapa de Riesgos'!$Q$18),"")</f>
        <v/>
      </c>
      <c r="U16" s="24" t="str">
        <f>IF(AND('1. Mapa de Riesgos'!$AA$19="Alta",'1. Mapa de Riesgos'!$AC$19="Menor"),CONCATENATE("R1C",'1. Mapa de Riesgos'!$Q$19),"")</f>
        <v/>
      </c>
      <c r="V16" s="4" t="str">
        <f>IF(AND('1. Mapa de Riesgos'!$AA$14="Alta",'1. Mapa de Riesgos'!$AC$14="Moderado"),CONCATENATE("R1C",'1. Mapa de Riesgos'!$Q$14),"")</f>
        <v/>
      </c>
      <c r="W16" s="5" t="str">
        <f>IF(AND('1. Mapa de Riesgos'!$AA$15="Alta",'1. Mapa de Riesgos'!$AC$15="Moderado"),CONCATENATE("R1C",'1. Mapa de Riesgos'!$Q$15),"")</f>
        <v/>
      </c>
      <c r="X16" s="5" t="str">
        <f>IF(AND('1. Mapa de Riesgos'!$AA$16="Alta",'1. Mapa de Riesgos'!$AC$16="Moderado"),CONCATENATE("R1C",'1. Mapa de Riesgos'!$Q$16),"")</f>
        <v/>
      </c>
      <c r="Y16" s="5" t="str">
        <f>IF(AND('1. Mapa de Riesgos'!$AA$17="Alta",'1. Mapa de Riesgos'!$AC$17="Moderado"),CONCATENATE("R1C",'1. Mapa de Riesgos'!$Q$17),"")</f>
        <v/>
      </c>
      <c r="Z16" s="5" t="str">
        <f>IF(AND('1. Mapa de Riesgos'!$AA$18="Alta",'1. Mapa de Riesgos'!$AC$18="Moderado"),CONCATENATE("R1C",'1. Mapa de Riesgos'!$Q$18),"")</f>
        <v/>
      </c>
      <c r="AA16" s="6" t="str">
        <f>IF(AND('1. Mapa de Riesgos'!$AA$19="Alta",'1. Mapa de Riesgos'!$AC$19="Moderado"),CONCATENATE("R1C",'1. Mapa de Riesgos'!$Q$19),"")</f>
        <v/>
      </c>
      <c r="AB16" s="4" t="str">
        <f>IF(AND('1. Mapa de Riesgos'!$AA$14="Alta",'1. Mapa de Riesgos'!$AC$14="Mayor"),CONCATENATE("R1C",'1. Mapa de Riesgos'!$Q$14),"")</f>
        <v/>
      </c>
      <c r="AC16" s="5" t="str">
        <f>IF(AND('1. Mapa de Riesgos'!$AA$15="Alta",'1. Mapa de Riesgos'!$AC$15="Mayor"),CONCATENATE("R1C",'1. Mapa de Riesgos'!$Q$15),"")</f>
        <v/>
      </c>
      <c r="AD16" s="5" t="str">
        <f>IF(AND('1. Mapa de Riesgos'!$AA$16="Alta",'1. Mapa de Riesgos'!$AC$16="Mayor"),CONCATENATE("R1C",'1. Mapa de Riesgos'!$Q$16),"")</f>
        <v/>
      </c>
      <c r="AE16" s="5" t="str">
        <f>IF(AND('1. Mapa de Riesgos'!$AA$17="Alta",'1. Mapa de Riesgos'!$AC$17="Mayor"),CONCATENATE("R1C",'1. Mapa de Riesgos'!$Q$17),"")</f>
        <v/>
      </c>
      <c r="AF16" s="5" t="str">
        <f>IF(AND('1. Mapa de Riesgos'!$AA$18="Alta",'1. Mapa de Riesgos'!$AC$18="Mayor"),CONCATENATE("R1C",'1. Mapa de Riesgos'!$Q$18),"")</f>
        <v/>
      </c>
      <c r="AG16" s="6" t="str">
        <f>IF(AND('1. Mapa de Riesgos'!$AA$19="Alta",'1. Mapa de Riesgos'!$AC$19="Mayor"),CONCATENATE("R1C",'1. Mapa de Riesgos'!$Q$19),"")</f>
        <v/>
      </c>
      <c r="AH16" s="7" t="str">
        <f>IF(AND('1. Mapa de Riesgos'!$AA$14="Alta",'1. Mapa de Riesgos'!$AC$14="Catastrófico"),CONCATENATE("R1C",'1. Mapa de Riesgos'!$Q$14),"")</f>
        <v/>
      </c>
      <c r="AI16" s="8" t="str">
        <f>IF(AND('1. Mapa de Riesgos'!$AA$15="Alta",'1. Mapa de Riesgos'!$AC$15="Catastrófico"),CONCATENATE("R1C",'1. Mapa de Riesgos'!$Q$15),"")</f>
        <v/>
      </c>
      <c r="AJ16" s="8" t="str">
        <f>IF(AND('1. Mapa de Riesgos'!$AA$16="Alta",'1. Mapa de Riesgos'!$AC$16="Catastrófico"),CONCATENATE("R1C",'1. Mapa de Riesgos'!$Q$16),"")</f>
        <v/>
      </c>
      <c r="AK16" s="8" t="str">
        <f>IF(AND('1. Mapa de Riesgos'!$AA$17="Alta",'1. Mapa de Riesgos'!$AC$17="Catastrófico"),CONCATENATE("R1C",'1. Mapa de Riesgos'!$Q$17),"")</f>
        <v/>
      </c>
      <c r="AL16" s="8" t="str">
        <f>IF(AND('1. Mapa de Riesgos'!$AA$18="Alta",'1. Mapa de Riesgos'!$AC$18="Catastrófico"),CONCATENATE("R1C",'1. Mapa de Riesgos'!$Q$18),"")</f>
        <v/>
      </c>
      <c r="AM16" s="9" t="str">
        <f>IF(AND('1. Mapa de Riesgos'!$AA$19="Alta",'1. Mapa de Riesgos'!$AC$19="Catastrófico"),CONCATENATE("R1C",'1. Mapa de Riesgos'!$Q$19),"")</f>
        <v/>
      </c>
      <c r="AN16" s="41"/>
      <c r="AO16" s="522" t="s">
        <v>114</v>
      </c>
      <c r="AP16" s="523"/>
      <c r="AQ16" s="523"/>
      <c r="AR16" s="523"/>
      <c r="AS16" s="523"/>
      <c r="AT16" s="524"/>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row>
    <row r="17" spans="1:76" ht="15" customHeight="1" x14ac:dyDescent="0.25">
      <c r="A17" s="41"/>
      <c r="B17" s="474"/>
      <c r="C17" s="474"/>
      <c r="D17" s="475"/>
      <c r="E17" s="531"/>
      <c r="F17" s="516"/>
      <c r="G17" s="516"/>
      <c r="H17" s="516"/>
      <c r="I17" s="516"/>
      <c r="J17" s="25" t="str">
        <f>IF(AND('1. Mapa de Riesgos'!$AA$32="Alta",'1. Mapa de Riesgos'!$AC$32="Leve"),CONCATENATE("R2C",'1. Mapa de Riesgos'!$Q$32),"")</f>
        <v/>
      </c>
      <c r="K17" s="26" t="str">
        <f>IF(AND('1. Mapa de Riesgos'!$AA$33="Alta",'1. Mapa de Riesgos'!$AC$33="Leve"),CONCATENATE("R2C",'1. Mapa de Riesgos'!$Q$33),"")</f>
        <v/>
      </c>
      <c r="L17" s="26" t="str">
        <f>IF(AND('1. Mapa de Riesgos'!$AA$34="Alta",'1. Mapa de Riesgos'!$AC$34="Leve"),CONCATENATE("R2C",'1. Mapa de Riesgos'!$Q$34),"")</f>
        <v/>
      </c>
      <c r="M17" s="26" t="str">
        <f>IF(AND('1. Mapa de Riesgos'!$AA$35="Alta",'1. Mapa de Riesgos'!$AC$35="Leve"),CONCATENATE("R2C",'1. Mapa de Riesgos'!$Q$35),"")</f>
        <v/>
      </c>
      <c r="N17" s="26" t="str">
        <f>IF(AND('1. Mapa de Riesgos'!$AA$36="Alta",'1. Mapa de Riesgos'!$AC$36="Leve"),CONCATENATE("R2C",'1. Mapa de Riesgos'!$Q$36),"")</f>
        <v/>
      </c>
      <c r="O17" s="27" t="str">
        <f>IF(AND('1. Mapa de Riesgos'!$AA$37="Alta",'1. Mapa de Riesgos'!$AC$37="Leve"),CONCATENATE("R2C",'1. Mapa de Riesgos'!$Q$37),"")</f>
        <v/>
      </c>
      <c r="P17" s="25" t="str">
        <f>IF(AND('1. Mapa de Riesgos'!$AA$32="Alta",'1. Mapa de Riesgos'!$AC$32="Menor"),CONCATENATE("R2C",'1. Mapa de Riesgos'!$Q$32),"")</f>
        <v/>
      </c>
      <c r="Q17" s="26" t="str">
        <f>IF(AND('1. Mapa de Riesgos'!$AA$33="Alta",'1. Mapa de Riesgos'!$AC$33="Menor"),CONCATENATE("R2C",'1. Mapa de Riesgos'!$Q$33),"")</f>
        <v/>
      </c>
      <c r="R17" s="26" t="str">
        <f>IF(AND('1. Mapa de Riesgos'!$AA$34="Alta",'1. Mapa de Riesgos'!$AC$34="Menor"),CONCATENATE("R2C",'1. Mapa de Riesgos'!$Q$34),"")</f>
        <v/>
      </c>
      <c r="S17" s="26" t="str">
        <f>IF(AND('1. Mapa de Riesgos'!$AA$35="Alta",'1. Mapa de Riesgos'!$AC$35="Menor"),CONCATENATE("R2C",'1. Mapa de Riesgos'!$Q$35),"")</f>
        <v/>
      </c>
      <c r="T17" s="26" t="str">
        <f>IF(AND('1. Mapa de Riesgos'!$AA$36="Alta",'1. Mapa de Riesgos'!$AC$36="Menor"),CONCATENATE("R2C",'1. Mapa de Riesgos'!$Q$36),"")</f>
        <v/>
      </c>
      <c r="U17" s="27" t="str">
        <f>IF(AND('1. Mapa de Riesgos'!$AA$37="Alta",'1. Mapa de Riesgos'!$AC$37="Menor"),CONCATENATE("R2C",'1. Mapa de Riesgos'!$Q$37),"")</f>
        <v/>
      </c>
      <c r="V17" s="10" t="str">
        <f>IF(AND('1. Mapa de Riesgos'!$AA$32="Alta",'1. Mapa de Riesgos'!$AC$32="Moderado"),CONCATENATE("R2C",'1. Mapa de Riesgos'!$Q$32),"")</f>
        <v/>
      </c>
      <c r="W17" s="11" t="str">
        <f>IF(AND('1. Mapa de Riesgos'!$AA$33="Alta",'1. Mapa de Riesgos'!$AC$33="Moderado"),CONCATENATE("R2C",'1. Mapa de Riesgos'!$Q$33),"")</f>
        <v/>
      </c>
      <c r="X17" s="11" t="str">
        <f>IF(AND('1. Mapa de Riesgos'!$AA$34="Alta",'1. Mapa de Riesgos'!$AC$34="Moderado"),CONCATENATE("R2C",'1. Mapa de Riesgos'!$Q$34),"")</f>
        <v/>
      </c>
      <c r="Y17" s="11" t="str">
        <f>IF(AND('1. Mapa de Riesgos'!$AA$35="Alta",'1. Mapa de Riesgos'!$AC$35="Moderado"),CONCATENATE("R2C",'1. Mapa de Riesgos'!$Q$35),"")</f>
        <v/>
      </c>
      <c r="Z17" s="11" t="str">
        <f>IF(AND('1. Mapa de Riesgos'!$AA$36="Alta",'1. Mapa de Riesgos'!$AC$36="Moderado"),CONCATENATE("R2C",'1. Mapa de Riesgos'!$Q$36),"")</f>
        <v/>
      </c>
      <c r="AA17" s="12" t="str">
        <f>IF(AND('1. Mapa de Riesgos'!$AA$37="Alta",'1. Mapa de Riesgos'!$AC$37="Moderado"),CONCATENATE("R2C",'1. Mapa de Riesgos'!$Q$37),"")</f>
        <v/>
      </c>
      <c r="AB17" s="10" t="str">
        <f>IF(AND('1. Mapa de Riesgos'!$AA$32="Alta",'1. Mapa de Riesgos'!$AC$32="Mayor"),CONCATENATE("R2C",'1. Mapa de Riesgos'!$Q$32),"")</f>
        <v/>
      </c>
      <c r="AC17" s="11" t="str">
        <f>IF(AND('1. Mapa de Riesgos'!$AA$33="Alta",'1. Mapa de Riesgos'!$AC$33="Mayor"),CONCATENATE("R2C",'1. Mapa de Riesgos'!$Q$33),"")</f>
        <v/>
      </c>
      <c r="AD17" s="11" t="str">
        <f>IF(AND('1. Mapa de Riesgos'!$AA$34="Alta",'1. Mapa de Riesgos'!$AC$34="Mayor"),CONCATENATE("R2C",'1. Mapa de Riesgos'!$Q$34),"")</f>
        <v/>
      </c>
      <c r="AE17" s="11" t="str">
        <f>IF(AND('1. Mapa de Riesgos'!$AA$35="Alta",'1. Mapa de Riesgos'!$AC$35="Mayor"),CONCATENATE("R2C",'1. Mapa de Riesgos'!$Q$35),"")</f>
        <v/>
      </c>
      <c r="AF17" s="11" t="str">
        <f>IF(AND('1. Mapa de Riesgos'!$AA$36="Alta",'1. Mapa de Riesgos'!$AC$36="Mayor"),CONCATENATE("R2C",'1. Mapa de Riesgos'!$Q$36),"")</f>
        <v/>
      </c>
      <c r="AG17" s="12" t="str">
        <f>IF(AND('1. Mapa de Riesgos'!$AA$37="Alta",'1. Mapa de Riesgos'!$AC$37="Mayor"),CONCATENATE("R2C",'1. Mapa de Riesgos'!$Q$37),"")</f>
        <v/>
      </c>
      <c r="AH17" s="13" t="str">
        <f>IF(AND('1. Mapa de Riesgos'!$AA$32="Alta",'1. Mapa de Riesgos'!$AC$32="Catastrófico"),CONCATENATE("R2C",'1. Mapa de Riesgos'!$Q$32),"")</f>
        <v/>
      </c>
      <c r="AI17" s="14" t="str">
        <f>IF(AND('1. Mapa de Riesgos'!$AA$33="Alta",'1. Mapa de Riesgos'!$AC$33="Catastrófico"),CONCATENATE("R2C",'1. Mapa de Riesgos'!$Q$33),"")</f>
        <v/>
      </c>
      <c r="AJ17" s="14" t="str">
        <f>IF(AND('1. Mapa de Riesgos'!$AA$34="Alta",'1. Mapa de Riesgos'!$AC$34="Catastrófico"),CONCATENATE("R2C",'1. Mapa de Riesgos'!$Q$34),"")</f>
        <v/>
      </c>
      <c r="AK17" s="14" t="str">
        <f>IF(AND('1. Mapa de Riesgos'!$AA$35="Alta",'1. Mapa de Riesgos'!$AC$35="Catastrófico"),CONCATENATE("R2C",'1. Mapa de Riesgos'!$Q$35),"")</f>
        <v/>
      </c>
      <c r="AL17" s="14" t="str">
        <f>IF(AND('1. Mapa de Riesgos'!$AA$36="Alta",'1. Mapa de Riesgos'!$AC$36="Catastrófico"),CONCATENATE("R2C",'1. Mapa de Riesgos'!$Q$36),"")</f>
        <v/>
      </c>
      <c r="AM17" s="15" t="str">
        <f>IF(AND('1. Mapa de Riesgos'!$AA$37="Alta",'1. Mapa de Riesgos'!$AC$37="Catastrófico"),CONCATENATE("R2C",'1. Mapa de Riesgos'!$Q$37),"")</f>
        <v/>
      </c>
      <c r="AN17" s="41"/>
      <c r="AO17" s="525"/>
      <c r="AP17" s="526"/>
      <c r="AQ17" s="526"/>
      <c r="AR17" s="526"/>
      <c r="AS17" s="526"/>
      <c r="AT17" s="527"/>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row>
    <row r="18" spans="1:76" ht="15" customHeight="1" x14ac:dyDescent="0.25">
      <c r="A18" s="41"/>
      <c r="B18" s="474"/>
      <c r="C18" s="474"/>
      <c r="D18" s="475"/>
      <c r="E18" s="515"/>
      <c r="F18" s="516"/>
      <c r="G18" s="516"/>
      <c r="H18" s="516"/>
      <c r="I18" s="516"/>
      <c r="J18" s="25" t="str">
        <f>IF(AND('1. Mapa de Riesgos'!$AA$38="Alta",'1. Mapa de Riesgos'!$AC$38="Leve"),CONCATENATE("R3C",'1. Mapa de Riesgos'!$Q$38),"")</f>
        <v/>
      </c>
      <c r="K18" s="26" t="str">
        <f>IF(AND('1. Mapa de Riesgos'!$AA$39="Alta",'1. Mapa de Riesgos'!$AC$39="Leve"),CONCATENATE("R3C",'1. Mapa de Riesgos'!$Q$39),"")</f>
        <v/>
      </c>
      <c r="L18" s="26" t="str">
        <f>IF(AND('1. Mapa de Riesgos'!$AA$40="Alta",'1. Mapa de Riesgos'!$AC$40="Leve"),CONCATENATE("R3C",'1. Mapa de Riesgos'!$Q$40),"")</f>
        <v/>
      </c>
      <c r="M18" s="26" t="str">
        <f>IF(AND('1. Mapa de Riesgos'!$AA$41="Alta",'1. Mapa de Riesgos'!$AC$41="Leve"),CONCATENATE("R3C",'1. Mapa de Riesgos'!$Q$41),"")</f>
        <v/>
      </c>
      <c r="N18" s="26" t="str">
        <f>IF(AND('1. Mapa de Riesgos'!$AA$42="Alta",'1. Mapa de Riesgos'!$AC$42="Leve"),CONCATENATE("R3C",'1. Mapa de Riesgos'!$Q$42),"")</f>
        <v/>
      </c>
      <c r="O18" s="27" t="str">
        <f>IF(AND('1. Mapa de Riesgos'!$AA$43="Alta",'1. Mapa de Riesgos'!$AC$43="Leve"),CONCATENATE("R3C",'1. Mapa de Riesgos'!$Q$43),"")</f>
        <v/>
      </c>
      <c r="P18" s="25" t="str">
        <f>IF(AND('1. Mapa de Riesgos'!$AA$38="Alta",'1. Mapa de Riesgos'!$AC$38="Menor"),CONCATENATE("R3C",'1. Mapa de Riesgos'!$Q$38),"")</f>
        <v/>
      </c>
      <c r="Q18" s="26" t="str">
        <f>IF(AND('1. Mapa de Riesgos'!$AA$39="Alta",'1. Mapa de Riesgos'!$AC$39="Menor"),CONCATENATE("R3C",'1. Mapa de Riesgos'!$Q$39),"")</f>
        <v/>
      </c>
      <c r="R18" s="26" t="str">
        <f>IF(AND('1. Mapa de Riesgos'!$AA$40="Alta",'1. Mapa de Riesgos'!$AC$40="Menor"),CONCATENATE("R3C",'1. Mapa de Riesgos'!$Q$40),"")</f>
        <v/>
      </c>
      <c r="S18" s="26" t="str">
        <f>IF(AND('1. Mapa de Riesgos'!$AA$41="Alta",'1. Mapa de Riesgos'!$AC$41="Menor"),CONCATENATE("R3C",'1. Mapa de Riesgos'!$Q$41),"")</f>
        <v/>
      </c>
      <c r="T18" s="26" t="str">
        <f>IF(AND('1. Mapa de Riesgos'!$AA$42="Alta",'1. Mapa de Riesgos'!$AC$42="Menor"),CONCATENATE("R3C",'1. Mapa de Riesgos'!$Q$42),"")</f>
        <v/>
      </c>
      <c r="U18" s="27" t="str">
        <f>IF(AND('1. Mapa de Riesgos'!$AA$43="Alta",'1. Mapa de Riesgos'!$AC$43="Menor"),CONCATENATE("R3C",'1. Mapa de Riesgos'!$Q$43),"")</f>
        <v/>
      </c>
      <c r="V18" s="10" t="str">
        <f>IF(AND('1. Mapa de Riesgos'!$AA$38="Alta",'1. Mapa de Riesgos'!$AC$38="Moderado"),CONCATENATE("R3C",'1. Mapa de Riesgos'!$Q$38),"")</f>
        <v/>
      </c>
      <c r="W18" s="11" t="str">
        <f>IF(AND('1. Mapa de Riesgos'!$AA$39="Alta",'1. Mapa de Riesgos'!$AC$39="Moderado"),CONCATENATE("R3C",'1. Mapa de Riesgos'!$Q$39),"")</f>
        <v/>
      </c>
      <c r="X18" s="11" t="str">
        <f>IF(AND('1. Mapa de Riesgos'!$AA$40="Alta",'1. Mapa de Riesgos'!$AC$40="Moderado"),CONCATENATE("R3C",'1. Mapa de Riesgos'!$Q$40),"")</f>
        <v/>
      </c>
      <c r="Y18" s="11" t="str">
        <f>IF(AND('1. Mapa de Riesgos'!$AA$41="Alta",'1. Mapa de Riesgos'!$AC$41="Moderado"),CONCATENATE("R3C",'1. Mapa de Riesgos'!$Q$41),"")</f>
        <v/>
      </c>
      <c r="Z18" s="11" t="str">
        <f>IF(AND('1. Mapa de Riesgos'!$AA$42="Alta",'1. Mapa de Riesgos'!$AC$42="Moderado"),CONCATENATE("R3C",'1. Mapa de Riesgos'!$Q$42),"")</f>
        <v/>
      </c>
      <c r="AA18" s="12" t="str">
        <f>IF(AND('1. Mapa de Riesgos'!$AA$43="Alta",'1. Mapa de Riesgos'!$AC$43="Moderado"),CONCATENATE("R3C",'1. Mapa de Riesgos'!$Q$43),"")</f>
        <v/>
      </c>
      <c r="AB18" s="10" t="str">
        <f>IF(AND('1. Mapa de Riesgos'!$AA$38="Alta",'1. Mapa de Riesgos'!$AC$38="Mayor"),CONCATENATE("R3C",'1. Mapa de Riesgos'!$Q$38),"")</f>
        <v/>
      </c>
      <c r="AC18" s="11" t="str">
        <f>IF(AND('1. Mapa de Riesgos'!$AA$39="Alta",'1. Mapa de Riesgos'!$AC$39="Mayor"),CONCATENATE("R3C",'1. Mapa de Riesgos'!$Q$39),"")</f>
        <v/>
      </c>
      <c r="AD18" s="11" t="str">
        <f>IF(AND('1. Mapa de Riesgos'!$AA$40="Alta",'1. Mapa de Riesgos'!$AC$40="Mayor"),CONCATENATE("R3C",'1. Mapa de Riesgos'!$Q$40),"")</f>
        <v/>
      </c>
      <c r="AE18" s="11" t="str">
        <f>IF(AND('1. Mapa de Riesgos'!$AA$41="Alta",'1. Mapa de Riesgos'!$AC$41="Mayor"),CONCATENATE("R3C",'1. Mapa de Riesgos'!$Q$41),"")</f>
        <v/>
      </c>
      <c r="AF18" s="11" t="str">
        <f>IF(AND('1. Mapa de Riesgos'!$AA$42="Alta",'1. Mapa de Riesgos'!$AC$42="Mayor"),CONCATENATE("R3C",'1. Mapa de Riesgos'!$Q$42),"")</f>
        <v/>
      </c>
      <c r="AG18" s="12" t="str">
        <f>IF(AND('1. Mapa de Riesgos'!$AA$43="Alta",'1. Mapa de Riesgos'!$AC$43="Mayor"),CONCATENATE("R3C",'1. Mapa de Riesgos'!$Q$43),"")</f>
        <v/>
      </c>
      <c r="AH18" s="13" t="str">
        <f>IF(AND('1. Mapa de Riesgos'!$AA$38="Alta",'1. Mapa de Riesgos'!$AC$38="Catastrófico"),CONCATENATE("R3C",'1. Mapa de Riesgos'!$Q$38),"")</f>
        <v/>
      </c>
      <c r="AI18" s="14" t="str">
        <f>IF(AND('1. Mapa de Riesgos'!$AA$39="Alta",'1. Mapa de Riesgos'!$AC$39="Catastrófico"),CONCATENATE("R3C",'1. Mapa de Riesgos'!$Q$39),"")</f>
        <v/>
      </c>
      <c r="AJ18" s="14" t="str">
        <f>IF(AND('1. Mapa de Riesgos'!$AA$40="Alta",'1. Mapa de Riesgos'!$AC$40="Catastrófico"),CONCATENATE("R3C",'1. Mapa de Riesgos'!$Q$40),"")</f>
        <v/>
      </c>
      <c r="AK18" s="14" t="str">
        <f>IF(AND('1. Mapa de Riesgos'!$AA$41="Alta",'1. Mapa de Riesgos'!$AC$41="Catastrófico"),CONCATENATE("R3C",'1. Mapa de Riesgos'!$Q$41),"")</f>
        <v/>
      </c>
      <c r="AL18" s="14" t="str">
        <f>IF(AND('1. Mapa de Riesgos'!$AA$42="Alta",'1. Mapa de Riesgos'!$AC$42="Catastrófico"),CONCATENATE("R3C",'1. Mapa de Riesgos'!$Q$42),"")</f>
        <v/>
      </c>
      <c r="AM18" s="15" t="str">
        <f>IF(AND('1. Mapa de Riesgos'!$AA$43="Alta",'1. Mapa de Riesgos'!$AC$43="Catastrófico"),CONCATENATE("R3C",'1. Mapa de Riesgos'!$Q$43),"")</f>
        <v/>
      </c>
      <c r="AN18" s="41"/>
      <c r="AO18" s="525"/>
      <c r="AP18" s="526"/>
      <c r="AQ18" s="526"/>
      <c r="AR18" s="526"/>
      <c r="AS18" s="526"/>
      <c r="AT18" s="527"/>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row>
    <row r="19" spans="1:76" ht="15" customHeight="1" x14ac:dyDescent="0.25">
      <c r="A19" s="41"/>
      <c r="B19" s="474"/>
      <c r="C19" s="474"/>
      <c r="D19" s="475"/>
      <c r="E19" s="515"/>
      <c r="F19" s="516"/>
      <c r="G19" s="516"/>
      <c r="H19" s="516"/>
      <c r="I19" s="516"/>
      <c r="J19" s="25" t="str">
        <f>IF(AND('1. Mapa de Riesgos'!$AA$50="Alta",'1. Mapa de Riesgos'!$AC$50="Leve"),CONCATENATE("R4C",'1. Mapa de Riesgos'!$Q$50),"")</f>
        <v/>
      </c>
      <c r="K19" s="26" t="str">
        <f>IF(AND('1. Mapa de Riesgos'!$AA$51="Alta",'1. Mapa de Riesgos'!$AC$51="Leve"),CONCATENATE("R4C",'1. Mapa de Riesgos'!$Q$51),"")</f>
        <v/>
      </c>
      <c r="L19" s="26" t="str">
        <f>IF(AND('1. Mapa de Riesgos'!$AA$52="Alta",'1. Mapa de Riesgos'!$AC$52="Leve"),CONCATENATE("R4C",'1. Mapa de Riesgos'!$Q$52),"")</f>
        <v/>
      </c>
      <c r="M19" s="26" t="str">
        <f>IF(AND('1. Mapa de Riesgos'!$AA$53="Alta",'1. Mapa de Riesgos'!$AC$53="Leve"),CONCATENATE("R4C",'1. Mapa de Riesgos'!$Q$53),"")</f>
        <v/>
      </c>
      <c r="N19" s="26" t="str">
        <f>IF(AND('1. Mapa de Riesgos'!$AA$54="Alta",'1. Mapa de Riesgos'!$AC$54="Leve"),CONCATENATE("R4C",'1. Mapa de Riesgos'!$Q$54),"")</f>
        <v/>
      </c>
      <c r="O19" s="27" t="str">
        <f>IF(AND('1. Mapa de Riesgos'!$AA$55="Alta",'1. Mapa de Riesgos'!$AC$55="Leve"),CONCATENATE("R4C",'1. Mapa de Riesgos'!$Q$55),"")</f>
        <v/>
      </c>
      <c r="P19" s="25" t="str">
        <f>IF(AND('1. Mapa de Riesgos'!$AA$50="Alta",'1. Mapa de Riesgos'!$AC$50="Menor"),CONCATENATE("R4C",'1. Mapa de Riesgos'!$Q$50),"")</f>
        <v/>
      </c>
      <c r="Q19" s="26" t="str">
        <f>IF(AND('1. Mapa de Riesgos'!$AA$51="Alta",'1. Mapa de Riesgos'!$AC$51="Menor"),CONCATENATE("R4C",'1. Mapa de Riesgos'!$Q$51),"")</f>
        <v/>
      </c>
      <c r="R19" s="26" t="str">
        <f>IF(AND('1. Mapa de Riesgos'!$AA$52="Alta",'1. Mapa de Riesgos'!$AC$52="Menor"),CONCATENATE("R4C",'1. Mapa de Riesgos'!$Q$52),"")</f>
        <v/>
      </c>
      <c r="S19" s="26" t="str">
        <f>IF(AND('1. Mapa de Riesgos'!$AA$53="Alta",'1. Mapa de Riesgos'!$AC$53="Menor"),CONCATENATE("R4C",'1. Mapa de Riesgos'!$Q$53),"")</f>
        <v/>
      </c>
      <c r="T19" s="26" t="str">
        <f>IF(AND('1. Mapa de Riesgos'!$AA$54="Alta",'1. Mapa de Riesgos'!$AC$54="Menor"),CONCATENATE("R4C",'1. Mapa de Riesgos'!$Q$54),"")</f>
        <v/>
      </c>
      <c r="U19" s="27" t="str">
        <f>IF(AND('1. Mapa de Riesgos'!$AA$55="Alta",'1. Mapa de Riesgos'!$AC$55="Menor"),CONCATENATE("R4C",'1. Mapa de Riesgos'!$Q$55),"")</f>
        <v/>
      </c>
      <c r="V19" s="10" t="str">
        <f>IF(AND('1. Mapa de Riesgos'!$AA$50="Alta",'1. Mapa de Riesgos'!$AC$50="Moderado"),CONCATENATE("R4C",'1. Mapa de Riesgos'!$Q$50),"")</f>
        <v/>
      </c>
      <c r="W19" s="11" t="str">
        <f>IF(AND('1. Mapa de Riesgos'!$AA$51="Alta",'1. Mapa de Riesgos'!$AC$51="Moderado"),CONCATENATE("R4C",'1. Mapa de Riesgos'!$Q$51),"")</f>
        <v/>
      </c>
      <c r="X19" s="11" t="str">
        <f>IF(AND('1. Mapa de Riesgos'!$AA$52="Alta",'1. Mapa de Riesgos'!$AC$52="Moderado"),CONCATENATE("R4C",'1. Mapa de Riesgos'!$Q$52),"")</f>
        <v/>
      </c>
      <c r="Y19" s="11" t="str">
        <f>IF(AND('1. Mapa de Riesgos'!$AA$53="Alta",'1. Mapa de Riesgos'!$AC$53="Moderado"),CONCATENATE("R4C",'1. Mapa de Riesgos'!$Q$53),"")</f>
        <v/>
      </c>
      <c r="Z19" s="11" t="str">
        <f>IF(AND('1. Mapa de Riesgos'!$AA$54="Alta",'1. Mapa de Riesgos'!$AC$54="Moderado"),CONCATENATE("R4C",'1. Mapa de Riesgos'!$Q$54),"")</f>
        <v/>
      </c>
      <c r="AA19" s="12" t="str">
        <f>IF(AND('1. Mapa de Riesgos'!$AA$55="Alta",'1. Mapa de Riesgos'!$AC$55="Moderado"),CONCATENATE("R4C",'1. Mapa de Riesgos'!$Q$55),"")</f>
        <v/>
      </c>
      <c r="AB19" s="10" t="str">
        <f>IF(AND('1. Mapa de Riesgos'!$AA$50="Alta",'1. Mapa de Riesgos'!$AC$50="Mayor"),CONCATENATE("R4C",'1. Mapa de Riesgos'!$Q$50),"")</f>
        <v/>
      </c>
      <c r="AC19" s="11" t="str">
        <f>IF(AND('1. Mapa de Riesgos'!$AA$51="Alta",'1. Mapa de Riesgos'!$AC$51="Mayor"),CONCATENATE("R4C",'1. Mapa de Riesgos'!$Q$51),"")</f>
        <v/>
      </c>
      <c r="AD19" s="11" t="str">
        <f>IF(AND('1. Mapa de Riesgos'!$AA$52="Alta",'1. Mapa de Riesgos'!$AC$52="Mayor"),CONCATENATE("R4C",'1. Mapa de Riesgos'!$Q$52),"")</f>
        <v/>
      </c>
      <c r="AE19" s="11" t="str">
        <f>IF(AND('1. Mapa de Riesgos'!$AA$53="Alta",'1. Mapa de Riesgos'!$AC$53="Mayor"),CONCATENATE("R4C",'1. Mapa de Riesgos'!$Q$53),"")</f>
        <v/>
      </c>
      <c r="AF19" s="11" t="str">
        <f>IF(AND('1. Mapa de Riesgos'!$AA$54="Alta",'1. Mapa de Riesgos'!$AC$54="Mayor"),CONCATENATE("R4C",'1. Mapa de Riesgos'!$Q$54),"")</f>
        <v/>
      </c>
      <c r="AG19" s="12" t="str">
        <f>IF(AND('1. Mapa de Riesgos'!$AA$55="Alta",'1. Mapa de Riesgos'!$AC$55="Mayor"),CONCATENATE("R4C",'1. Mapa de Riesgos'!$Q$55),"")</f>
        <v/>
      </c>
      <c r="AH19" s="13" t="str">
        <f>IF(AND('1. Mapa de Riesgos'!$AA$50="Alta",'1. Mapa de Riesgos'!$AC$50="Catastrófico"),CONCATENATE("R4C",'1. Mapa de Riesgos'!$Q$50),"")</f>
        <v/>
      </c>
      <c r="AI19" s="14" t="str">
        <f>IF(AND('1. Mapa de Riesgos'!$AA$51="Alta",'1. Mapa de Riesgos'!$AC$51="Catastrófico"),CONCATENATE("R4C",'1. Mapa de Riesgos'!$Q$51),"")</f>
        <v/>
      </c>
      <c r="AJ19" s="14" t="str">
        <f>IF(AND('1. Mapa de Riesgos'!$AA$52="Alta",'1. Mapa de Riesgos'!$AC$52="Catastrófico"),CONCATENATE("R4C",'1. Mapa de Riesgos'!$Q$52),"")</f>
        <v/>
      </c>
      <c r="AK19" s="14" t="str">
        <f>IF(AND('1. Mapa de Riesgos'!$AA$53="Alta",'1. Mapa de Riesgos'!$AC$53="Catastrófico"),CONCATENATE("R4C",'1. Mapa de Riesgos'!$Q$53),"")</f>
        <v/>
      </c>
      <c r="AL19" s="14" t="str">
        <f>IF(AND('1. Mapa de Riesgos'!$AA$54="Alta",'1. Mapa de Riesgos'!$AC$54="Catastrófico"),CONCATENATE("R4C",'1. Mapa de Riesgos'!$Q$54),"")</f>
        <v/>
      </c>
      <c r="AM19" s="15" t="str">
        <f>IF(AND('1. Mapa de Riesgos'!$AA$55="Alta",'1. Mapa de Riesgos'!$AC$55="Catastrófico"),CONCATENATE("R4C",'1. Mapa de Riesgos'!$Q$55),"")</f>
        <v/>
      </c>
      <c r="AN19" s="41"/>
      <c r="AO19" s="525"/>
      <c r="AP19" s="526"/>
      <c r="AQ19" s="526"/>
      <c r="AR19" s="526"/>
      <c r="AS19" s="526"/>
      <c r="AT19" s="527"/>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row>
    <row r="20" spans="1:76" ht="15" customHeight="1" x14ac:dyDescent="0.25">
      <c r="A20" s="41"/>
      <c r="B20" s="474"/>
      <c r="C20" s="474"/>
      <c r="D20" s="475"/>
      <c r="E20" s="515"/>
      <c r="F20" s="516"/>
      <c r="G20" s="516"/>
      <c r="H20" s="516"/>
      <c r="I20" s="516"/>
      <c r="J20" s="25" t="e">
        <f>IF(AND('1. Mapa de Riesgos'!#REF!="Alta",'1. Mapa de Riesgos'!#REF!="Leve"),CONCATENATE("R5C",'1. Mapa de Riesgos'!#REF!),"")</f>
        <v>#REF!</v>
      </c>
      <c r="K20" s="26" t="e">
        <f>IF(AND('1. Mapa de Riesgos'!#REF!="Alta",'1. Mapa de Riesgos'!#REF!="Leve"),CONCATENATE("R5C",'1. Mapa de Riesgos'!#REF!),"")</f>
        <v>#REF!</v>
      </c>
      <c r="L20" s="26" t="e">
        <f>IF(AND('1. Mapa de Riesgos'!#REF!="Alta",'1. Mapa de Riesgos'!#REF!="Leve"),CONCATENATE("R5C",'1. Mapa de Riesgos'!#REF!),"")</f>
        <v>#REF!</v>
      </c>
      <c r="M20" s="26" t="e">
        <f>IF(AND('1. Mapa de Riesgos'!#REF!="Alta",'1. Mapa de Riesgos'!#REF!="Leve"),CONCATENATE("R5C",'1. Mapa de Riesgos'!#REF!),"")</f>
        <v>#REF!</v>
      </c>
      <c r="N20" s="26" t="e">
        <f>IF(AND('1. Mapa de Riesgos'!#REF!="Alta",'1. Mapa de Riesgos'!#REF!="Leve"),CONCATENATE("R5C",'1. Mapa de Riesgos'!#REF!),"")</f>
        <v>#REF!</v>
      </c>
      <c r="O20" s="27" t="e">
        <f>IF(AND('1. Mapa de Riesgos'!#REF!="Alta",'1. Mapa de Riesgos'!#REF!="Leve"),CONCATENATE("R5C",'1. Mapa de Riesgos'!#REF!),"")</f>
        <v>#REF!</v>
      </c>
      <c r="P20" s="25" t="e">
        <f>IF(AND('1. Mapa de Riesgos'!#REF!="Alta",'1. Mapa de Riesgos'!#REF!="Menor"),CONCATENATE("R5C",'1. Mapa de Riesgos'!#REF!),"")</f>
        <v>#REF!</v>
      </c>
      <c r="Q20" s="26" t="e">
        <f>IF(AND('1. Mapa de Riesgos'!#REF!="Alta",'1. Mapa de Riesgos'!#REF!="Menor"),CONCATENATE("R5C",'1. Mapa de Riesgos'!#REF!),"")</f>
        <v>#REF!</v>
      </c>
      <c r="R20" s="26" t="e">
        <f>IF(AND('1. Mapa de Riesgos'!#REF!="Alta",'1. Mapa de Riesgos'!#REF!="Menor"),CONCATENATE("R5C",'1. Mapa de Riesgos'!#REF!),"")</f>
        <v>#REF!</v>
      </c>
      <c r="S20" s="26" t="e">
        <f>IF(AND('1. Mapa de Riesgos'!#REF!="Alta",'1. Mapa de Riesgos'!#REF!="Menor"),CONCATENATE("R5C",'1. Mapa de Riesgos'!#REF!),"")</f>
        <v>#REF!</v>
      </c>
      <c r="T20" s="26" t="e">
        <f>IF(AND('1. Mapa de Riesgos'!#REF!="Alta",'1. Mapa de Riesgos'!#REF!="Menor"),CONCATENATE("R5C",'1. Mapa de Riesgos'!#REF!),"")</f>
        <v>#REF!</v>
      </c>
      <c r="U20" s="27" t="e">
        <f>IF(AND('1. Mapa de Riesgos'!#REF!="Alta",'1. Mapa de Riesgos'!#REF!="Menor"),CONCATENATE("R5C",'1. Mapa de Riesgos'!#REF!),"")</f>
        <v>#REF!</v>
      </c>
      <c r="V20" s="10" t="e">
        <f>IF(AND('1. Mapa de Riesgos'!#REF!="Alta",'1. Mapa de Riesgos'!#REF!="Moderado"),CONCATENATE("R5C",'1. Mapa de Riesgos'!#REF!),"")</f>
        <v>#REF!</v>
      </c>
      <c r="W20" s="11" t="e">
        <f>IF(AND('1. Mapa de Riesgos'!#REF!="Alta",'1. Mapa de Riesgos'!#REF!="Moderado"),CONCATENATE("R5C",'1. Mapa de Riesgos'!#REF!),"")</f>
        <v>#REF!</v>
      </c>
      <c r="X20" s="11" t="e">
        <f>IF(AND('1. Mapa de Riesgos'!#REF!="Alta",'1. Mapa de Riesgos'!#REF!="Moderado"),CONCATENATE("R5C",'1. Mapa de Riesgos'!#REF!),"")</f>
        <v>#REF!</v>
      </c>
      <c r="Y20" s="11" t="e">
        <f>IF(AND('1. Mapa de Riesgos'!#REF!="Alta",'1. Mapa de Riesgos'!#REF!="Moderado"),CONCATENATE("R5C",'1. Mapa de Riesgos'!#REF!),"")</f>
        <v>#REF!</v>
      </c>
      <c r="Z20" s="11" t="e">
        <f>IF(AND('1. Mapa de Riesgos'!#REF!="Alta",'1. Mapa de Riesgos'!#REF!="Moderado"),CONCATENATE("R5C",'1. Mapa de Riesgos'!#REF!),"")</f>
        <v>#REF!</v>
      </c>
      <c r="AA20" s="12" t="e">
        <f>IF(AND('1. Mapa de Riesgos'!#REF!="Alta",'1. Mapa de Riesgos'!#REF!="Moderado"),CONCATENATE("R5C",'1. Mapa de Riesgos'!#REF!),"")</f>
        <v>#REF!</v>
      </c>
      <c r="AB20" s="10" t="e">
        <f>IF(AND('1. Mapa de Riesgos'!#REF!="Alta",'1. Mapa de Riesgos'!#REF!="Mayor"),CONCATENATE("R5C",'1. Mapa de Riesgos'!#REF!),"")</f>
        <v>#REF!</v>
      </c>
      <c r="AC20" s="11" t="e">
        <f>IF(AND('1. Mapa de Riesgos'!#REF!="Alta",'1. Mapa de Riesgos'!#REF!="Mayor"),CONCATENATE("R5C",'1. Mapa de Riesgos'!#REF!),"")</f>
        <v>#REF!</v>
      </c>
      <c r="AD20" s="11" t="e">
        <f>IF(AND('1. Mapa de Riesgos'!#REF!="Alta",'1. Mapa de Riesgos'!#REF!="Mayor"),CONCATENATE("R5C",'1. Mapa de Riesgos'!#REF!),"")</f>
        <v>#REF!</v>
      </c>
      <c r="AE20" s="11" t="e">
        <f>IF(AND('1. Mapa de Riesgos'!#REF!="Alta",'1. Mapa de Riesgos'!#REF!="Mayor"),CONCATENATE("R5C",'1. Mapa de Riesgos'!#REF!),"")</f>
        <v>#REF!</v>
      </c>
      <c r="AF20" s="11" t="e">
        <f>IF(AND('1. Mapa de Riesgos'!#REF!="Alta",'1. Mapa de Riesgos'!#REF!="Mayor"),CONCATENATE("R5C",'1. Mapa de Riesgos'!#REF!),"")</f>
        <v>#REF!</v>
      </c>
      <c r="AG20" s="12" t="e">
        <f>IF(AND('1. Mapa de Riesgos'!#REF!="Alta",'1. Mapa de Riesgos'!#REF!="Mayor"),CONCATENATE("R5C",'1. Mapa de Riesgos'!#REF!),"")</f>
        <v>#REF!</v>
      </c>
      <c r="AH20" s="13" t="e">
        <f>IF(AND('1. Mapa de Riesgos'!#REF!="Alta",'1. Mapa de Riesgos'!#REF!="Catastrófico"),CONCATENATE("R5C",'1. Mapa de Riesgos'!#REF!),"")</f>
        <v>#REF!</v>
      </c>
      <c r="AI20" s="14" t="e">
        <f>IF(AND('1. Mapa de Riesgos'!#REF!="Alta",'1. Mapa de Riesgos'!#REF!="Catastrófico"),CONCATENATE("R5C",'1. Mapa de Riesgos'!#REF!),"")</f>
        <v>#REF!</v>
      </c>
      <c r="AJ20" s="14" t="e">
        <f>IF(AND('1. Mapa de Riesgos'!#REF!="Alta",'1. Mapa de Riesgos'!#REF!="Catastrófico"),CONCATENATE("R5C",'1. Mapa de Riesgos'!#REF!),"")</f>
        <v>#REF!</v>
      </c>
      <c r="AK20" s="14" t="e">
        <f>IF(AND('1. Mapa de Riesgos'!#REF!="Alta",'1. Mapa de Riesgos'!#REF!="Catastrófico"),CONCATENATE("R5C",'1. Mapa de Riesgos'!#REF!),"")</f>
        <v>#REF!</v>
      </c>
      <c r="AL20" s="14" t="e">
        <f>IF(AND('1. Mapa de Riesgos'!#REF!="Alta",'1. Mapa de Riesgos'!#REF!="Catastrófico"),CONCATENATE("R5C",'1. Mapa de Riesgos'!#REF!),"")</f>
        <v>#REF!</v>
      </c>
      <c r="AM20" s="15" t="e">
        <f>IF(AND('1. Mapa de Riesgos'!#REF!="Alta",'1. Mapa de Riesgos'!#REF!="Catastrófico"),CONCATENATE("R5C",'1. Mapa de Riesgos'!#REF!),"")</f>
        <v>#REF!</v>
      </c>
      <c r="AN20" s="41"/>
      <c r="AO20" s="525"/>
      <c r="AP20" s="526"/>
      <c r="AQ20" s="526"/>
      <c r="AR20" s="526"/>
      <c r="AS20" s="526"/>
      <c r="AT20" s="527"/>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row>
    <row r="21" spans="1:76" ht="15" customHeight="1" x14ac:dyDescent="0.25">
      <c r="A21" s="41"/>
      <c r="B21" s="474"/>
      <c r="C21" s="474"/>
      <c r="D21" s="475"/>
      <c r="E21" s="515"/>
      <c r="F21" s="516"/>
      <c r="G21" s="516"/>
      <c r="H21" s="516"/>
      <c r="I21" s="516"/>
      <c r="J21" s="25" t="str">
        <f>IF(AND('1. Mapa de Riesgos'!$AA$56="Alta",'1. Mapa de Riesgos'!$AC$56="Leve"),CONCATENATE("R6C",'1. Mapa de Riesgos'!$Q$56),"")</f>
        <v/>
      </c>
      <c r="K21" s="26" t="str">
        <f>IF(AND('1. Mapa de Riesgos'!$AA$57="Alta",'1. Mapa de Riesgos'!$AC$57="Leve"),CONCATENATE("R6C",'1. Mapa de Riesgos'!$Q$57),"")</f>
        <v/>
      </c>
      <c r="L21" s="26" t="str">
        <f>IF(AND('1. Mapa de Riesgos'!$AA$58="Alta",'1. Mapa de Riesgos'!$AC$58="Leve"),CONCATENATE("R6C",'1. Mapa de Riesgos'!$Q$58),"")</f>
        <v/>
      </c>
      <c r="M21" s="26" t="str">
        <f>IF(AND('1. Mapa de Riesgos'!$AA$59="Alta",'1. Mapa de Riesgos'!$AC$59="Leve"),CONCATENATE("R6C",'1. Mapa de Riesgos'!$Q$59),"")</f>
        <v/>
      </c>
      <c r="N21" s="26" t="str">
        <f>IF(AND('1. Mapa de Riesgos'!$AA$60="Alta",'1. Mapa de Riesgos'!$AC$60="Leve"),CONCATENATE("R6C",'1. Mapa de Riesgos'!$Q$60),"")</f>
        <v/>
      </c>
      <c r="O21" s="27" t="str">
        <f>IF(AND('1. Mapa de Riesgos'!$AA$61="Alta",'1. Mapa de Riesgos'!$AC$61="Leve"),CONCATENATE("R6C",'1. Mapa de Riesgos'!$Q$61),"")</f>
        <v/>
      </c>
      <c r="P21" s="25" t="str">
        <f>IF(AND('1. Mapa de Riesgos'!$AA$56="Alta",'1. Mapa de Riesgos'!$AC$56="Menor"),CONCATENATE("R6C",'1. Mapa de Riesgos'!$Q$56),"")</f>
        <v/>
      </c>
      <c r="Q21" s="26" t="str">
        <f>IF(AND('1. Mapa de Riesgos'!$AA$57="Alta",'1. Mapa de Riesgos'!$AC$57="Menor"),CONCATENATE("R6C",'1. Mapa de Riesgos'!$Q$57),"")</f>
        <v/>
      </c>
      <c r="R21" s="26" t="str">
        <f>IF(AND('1. Mapa de Riesgos'!$AA$58="Alta",'1. Mapa de Riesgos'!$AC$58="Menor"),CONCATENATE("R6C",'1. Mapa de Riesgos'!$Q$58),"")</f>
        <v/>
      </c>
      <c r="S21" s="26" t="str">
        <f>IF(AND('1. Mapa de Riesgos'!$AA$59="Alta",'1. Mapa de Riesgos'!$AC$59="Menor"),CONCATENATE("R6C",'1. Mapa de Riesgos'!$Q$59),"")</f>
        <v/>
      </c>
      <c r="T21" s="26" t="str">
        <f>IF(AND('1. Mapa de Riesgos'!$AA$60="Alta",'1. Mapa de Riesgos'!$AC$60="Menor"),CONCATENATE("R6C",'1. Mapa de Riesgos'!$Q$60),"")</f>
        <v/>
      </c>
      <c r="U21" s="27" t="str">
        <f>IF(AND('1. Mapa de Riesgos'!$AA$61="Alta",'1. Mapa de Riesgos'!$AC$61="Menor"),CONCATENATE("R6C",'1. Mapa de Riesgos'!$Q$61),"")</f>
        <v/>
      </c>
      <c r="V21" s="10" t="str">
        <f>IF(AND('1. Mapa de Riesgos'!$AA$56="Alta",'1. Mapa de Riesgos'!$AC$56="Moderado"),CONCATENATE("R6C",'1. Mapa de Riesgos'!$Q$56),"")</f>
        <v/>
      </c>
      <c r="W21" s="11" t="str">
        <f>IF(AND('1. Mapa de Riesgos'!$AA$57="Alta",'1. Mapa de Riesgos'!$AC$57="Moderado"),CONCATENATE("R6C",'1. Mapa de Riesgos'!$Q$57),"")</f>
        <v/>
      </c>
      <c r="X21" s="11" t="str">
        <f>IF(AND('1. Mapa de Riesgos'!$AA$58="Alta",'1. Mapa de Riesgos'!$AC$58="Moderado"),CONCATENATE("R6C",'1. Mapa de Riesgos'!$Q$58),"")</f>
        <v/>
      </c>
      <c r="Y21" s="11" t="str">
        <f>IF(AND('1. Mapa de Riesgos'!$AA$59="Alta",'1. Mapa de Riesgos'!$AC$59="Moderado"),CONCATENATE("R6C",'1. Mapa de Riesgos'!$Q$59),"")</f>
        <v/>
      </c>
      <c r="Z21" s="11" t="str">
        <f>IF(AND('1. Mapa de Riesgos'!$AA$60="Alta",'1. Mapa de Riesgos'!$AC$60="Moderado"),CONCATENATE("R6C",'1. Mapa de Riesgos'!$Q$60),"")</f>
        <v/>
      </c>
      <c r="AA21" s="12" t="str">
        <f>IF(AND('1. Mapa de Riesgos'!$AA$61="Alta",'1. Mapa de Riesgos'!$AC$61="Moderado"),CONCATENATE("R6C",'1. Mapa de Riesgos'!$Q$61),"")</f>
        <v/>
      </c>
      <c r="AB21" s="10" t="str">
        <f>IF(AND('1. Mapa de Riesgos'!$AA$56="Alta",'1. Mapa de Riesgos'!$AC$56="Mayor"),CONCATENATE("R6C",'1. Mapa de Riesgos'!$Q$56),"")</f>
        <v/>
      </c>
      <c r="AC21" s="11" t="str">
        <f>IF(AND('1. Mapa de Riesgos'!$AA$57="Alta",'1. Mapa de Riesgos'!$AC$57="Mayor"),CONCATENATE("R6C",'1. Mapa de Riesgos'!$Q$57),"")</f>
        <v/>
      </c>
      <c r="AD21" s="11" t="str">
        <f>IF(AND('1. Mapa de Riesgos'!$AA$58="Alta",'1. Mapa de Riesgos'!$AC$58="Mayor"),CONCATENATE("R6C",'1. Mapa de Riesgos'!$Q$58),"")</f>
        <v/>
      </c>
      <c r="AE21" s="11" t="str">
        <f>IF(AND('1. Mapa de Riesgos'!$AA$59="Alta",'1. Mapa de Riesgos'!$AC$59="Mayor"),CONCATENATE("R6C",'1. Mapa de Riesgos'!$Q$59),"")</f>
        <v/>
      </c>
      <c r="AF21" s="11" t="str">
        <f>IF(AND('1. Mapa de Riesgos'!$AA$60="Alta",'1. Mapa de Riesgos'!$AC$60="Mayor"),CONCATENATE("R6C",'1. Mapa de Riesgos'!$Q$60),"")</f>
        <v/>
      </c>
      <c r="AG21" s="12" t="str">
        <f>IF(AND('1. Mapa de Riesgos'!$AA$61="Alta",'1. Mapa de Riesgos'!$AC$61="Mayor"),CONCATENATE("R6C",'1. Mapa de Riesgos'!$Q$61),"")</f>
        <v/>
      </c>
      <c r="AH21" s="13" t="str">
        <f>IF(AND('1. Mapa de Riesgos'!$AA$56="Alta",'1. Mapa de Riesgos'!$AC$56="Catastrófico"),CONCATENATE("R6C",'1. Mapa de Riesgos'!$Q$56),"")</f>
        <v/>
      </c>
      <c r="AI21" s="14" t="str">
        <f>IF(AND('1. Mapa de Riesgos'!$AA$57="Alta",'1. Mapa de Riesgos'!$AC$57="Catastrófico"),CONCATENATE("R6C",'1. Mapa de Riesgos'!$Q$57),"")</f>
        <v/>
      </c>
      <c r="AJ21" s="14" t="str">
        <f>IF(AND('1. Mapa de Riesgos'!$AA$58="Alta",'1. Mapa de Riesgos'!$AC$58="Catastrófico"),CONCATENATE("R6C",'1. Mapa de Riesgos'!$Q$58),"")</f>
        <v/>
      </c>
      <c r="AK21" s="14" t="str">
        <f>IF(AND('1. Mapa de Riesgos'!$AA$59="Alta",'1. Mapa de Riesgos'!$AC$59="Catastrófico"),CONCATENATE("R6C",'1. Mapa de Riesgos'!$Q$59),"")</f>
        <v/>
      </c>
      <c r="AL21" s="14" t="str">
        <f>IF(AND('1. Mapa de Riesgos'!$AA$60="Alta",'1. Mapa de Riesgos'!$AC$60="Catastrófico"),CONCATENATE("R6C",'1. Mapa de Riesgos'!$Q$60),"")</f>
        <v/>
      </c>
      <c r="AM21" s="15" t="str">
        <f>IF(AND('1. Mapa de Riesgos'!$AA$61="Alta",'1. Mapa de Riesgos'!$AC$61="Catastrófico"),CONCATENATE("R6C",'1. Mapa de Riesgos'!$Q$61),"")</f>
        <v/>
      </c>
      <c r="AN21" s="41"/>
      <c r="AO21" s="525"/>
      <c r="AP21" s="526"/>
      <c r="AQ21" s="526"/>
      <c r="AR21" s="526"/>
      <c r="AS21" s="526"/>
      <c r="AT21" s="527"/>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row>
    <row r="22" spans="1:76" ht="15" customHeight="1" x14ac:dyDescent="0.25">
      <c r="A22" s="41"/>
      <c r="B22" s="474"/>
      <c r="C22" s="474"/>
      <c r="D22" s="475"/>
      <c r="E22" s="515"/>
      <c r="F22" s="516"/>
      <c r="G22" s="516"/>
      <c r="H22" s="516"/>
      <c r="I22" s="516"/>
      <c r="J22" s="25" t="str">
        <f>IF(AND('1. Mapa de Riesgos'!$AA$26="Alta",'1. Mapa de Riesgos'!$AC$26="Leve"),CONCATENATE("R7C",'1. Mapa de Riesgos'!$Q$26),"")</f>
        <v/>
      </c>
      <c r="K22" s="26" t="str">
        <f>IF(AND('1. Mapa de Riesgos'!$AA$27="Alta",'1. Mapa de Riesgos'!$AC$27="Leve"),CONCATENATE("R7C",'1. Mapa de Riesgos'!$Q$27),"")</f>
        <v/>
      </c>
      <c r="L22" s="26" t="str">
        <f>IF(AND('1. Mapa de Riesgos'!$AA$28="Alta",'1. Mapa de Riesgos'!$AC$28="Leve"),CONCATENATE("R7C",'1. Mapa de Riesgos'!$Q$28),"")</f>
        <v/>
      </c>
      <c r="M22" s="26" t="str">
        <f>IF(AND('1. Mapa de Riesgos'!$AA$29="Alta",'1. Mapa de Riesgos'!$AC$29="Leve"),CONCATENATE("R7C",'1. Mapa de Riesgos'!$Q$29),"")</f>
        <v/>
      </c>
      <c r="N22" s="26" t="str">
        <f>IF(AND('1. Mapa de Riesgos'!$AA$30="Alta",'1. Mapa de Riesgos'!$AC$30="Leve"),CONCATENATE("R7C",'1. Mapa de Riesgos'!$Q$30),"")</f>
        <v/>
      </c>
      <c r="O22" s="27" t="str">
        <f>IF(AND('1. Mapa de Riesgos'!$AA$31="Alta",'1. Mapa de Riesgos'!$AC$31="Leve"),CONCATENATE("R7C",'1. Mapa de Riesgos'!$Q$31),"")</f>
        <v/>
      </c>
      <c r="P22" s="25" t="str">
        <f>IF(AND('1. Mapa de Riesgos'!$AA$26="Alta",'1. Mapa de Riesgos'!$AC$26="Menor"),CONCATENATE("R7C",'1. Mapa de Riesgos'!$Q$26),"")</f>
        <v/>
      </c>
      <c r="Q22" s="26" t="str">
        <f>IF(AND('1. Mapa de Riesgos'!$AA$27="Alta",'1. Mapa de Riesgos'!$AC$27="Menor"),CONCATENATE("R7C",'1. Mapa de Riesgos'!$Q$27),"")</f>
        <v/>
      </c>
      <c r="R22" s="26" t="str">
        <f>IF(AND('1. Mapa de Riesgos'!$AA$28="Alta",'1. Mapa de Riesgos'!$AC$28="Menor"),CONCATENATE("R7C",'1. Mapa de Riesgos'!$Q$28),"")</f>
        <v/>
      </c>
      <c r="S22" s="26" t="str">
        <f>IF(AND('1. Mapa de Riesgos'!$AA$29="Alta",'1. Mapa de Riesgos'!$AC$29="Menor"),CONCATENATE("R7C",'1. Mapa de Riesgos'!$Q$29),"")</f>
        <v/>
      </c>
      <c r="T22" s="26" t="str">
        <f>IF(AND('1. Mapa de Riesgos'!$AA$30="Alta",'1. Mapa de Riesgos'!$AC$30="Menor"),CONCATENATE("R7C",'1. Mapa de Riesgos'!$Q$30),"")</f>
        <v/>
      </c>
      <c r="U22" s="27" t="str">
        <f>IF(AND('1. Mapa de Riesgos'!$AA$31="Alta",'1. Mapa de Riesgos'!$AC$31="Menor"),CONCATENATE("R7C",'1. Mapa de Riesgos'!$Q$31),"")</f>
        <v/>
      </c>
      <c r="V22" s="10" t="str">
        <f>IF(AND('1. Mapa de Riesgos'!$AA$26="Alta",'1. Mapa de Riesgos'!$AC$26="Moderado"),CONCATENATE("R7C",'1. Mapa de Riesgos'!$Q$26),"")</f>
        <v/>
      </c>
      <c r="W22" s="11" t="str">
        <f>IF(AND('1. Mapa de Riesgos'!$AA$27="Alta",'1. Mapa de Riesgos'!$AC$27="Moderado"),CONCATENATE("R7C",'1. Mapa de Riesgos'!$Q$27),"")</f>
        <v/>
      </c>
      <c r="X22" s="11" t="str">
        <f>IF(AND('1. Mapa de Riesgos'!$AA$28="Alta",'1. Mapa de Riesgos'!$AC$28="Moderado"),CONCATENATE("R7C",'1. Mapa de Riesgos'!$Q$28),"")</f>
        <v/>
      </c>
      <c r="Y22" s="11" t="str">
        <f>IF(AND('1. Mapa de Riesgos'!$AA$29="Alta",'1. Mapa de Riesgos'!$AC$29="Moderado"),CONCATENATE("R7C",'1. Mapa de Riesgos'!$Q$29),"")</f>
        <v/>
      </c>
      <c r="Z22" s="11" t="str">
        <f>IF(AND('1. Mapa de Riesgos'!$AA$30="Alta",'1. Mapa de Riesgos'!$AC$30="Moderado"),CONCATENATE("R7C",'1. Mapa de Riesgos'!$Q$30),"")</f>
        <v/>
      </c>
      <c r="AA22" s="12" t="str">
        <f>IF(AND('1. Mapa de Riesgos'!$AA$31="Alta",'1. Mapa de Riesgos'!$AC$31="Moderado"),CONCATENATE("R7C",'1. Mapa de Riesgos'!$Q$31),"")</f>
        <v/>
      </c>
      <c r="AB22" s="10" t="str">
        <f>IF(AND('1. Mapa de Riesgos'!$AA$26="Alta",'1. Mapa de Riesgos'!$AC$26="Mayor"),CONCATENATE("R7C",'1. Mapa de Riesgos'!$Q$26),"")</f>
        <v/>
      </c>
      <c r="AC22" s="11" t="str">
        <f>IF(AND('1. Mapa de Riesgos'!$AA$27="Alta",'1. Mapa de Riesgos'!$AC$27="Mayor"),CONCATENATE("R7C",'1. Mapa de Riesgos'!$Q$27),"")</f>
        <v/>
      </c>
      <c r="AD22" s="11" t="str">
        <f>IF(AND('1. Mapa de Riesgos'!$AA$28="Alta",'1. Mapa de Riesgos'!$AC$28="Mayor"),CONCATENATE("R7C",'1. Mapa de Riesgos'!$Q$28),"")</f>
        <v/>
      </c>
      <c r="AE22" s="11" t="str">
        <f>IF(AND('1. Mapa de Riesgos'!$AA$29="Alta",'1. Mapa de Riesgos'!$AC$29="Mayor"),CONCATENATE("R7C",'1. Mapa de Riesgos'!$Q$29),"")</f>
        <v/>
      </c>
      <c r="AF22" s="11" t="str">
        <f>IF(AND('1. Mapa de Riesgos'!$AA$30="Alta",'1. Mapa de Riesgos'!$AC$30="Mayor"),CONCATENATE("R7C",'1. Mapa de Riesgos'!$Q$30),"")</f>
        <v/>
      </c>
      <c r="AG22" s="12" t="str">
        <f>IF(AND('1. Mapa de Riesgos'!$AA$31="Alta",'1. Mapa de Riesgos'!$AC$31="Mayor"),CONCATENATE("R7C",'1. Mapa de Riesgos'!$Q$31),"")</f>
        <v/>
      </c>
      <c r="AH22" s="13" t="str">
        <f>IF(AND('1. Mapa de Riesgos'!$AA$26="Alta",'1. Mapa de Riesgos'!$AC$26="Catastrófico"),CONCATENATE("R7C",'1. Mapa de Riesgos'!$Q$26),"")</f>
        <v/>
      </c>
      <c r="AI22" s="14" t="str">
        <f>IF(AND('1. Mapa de Riesgos'!$AA$27="Alta",'1. Mapa de Riesgos'!$AC$27="Catastrófico"),CONCATENATE("R7C",'1. Mapa de Riesgos'!$Q$27),"")</f>
        <v/>
      </c>
      <c r="AJ22" s="14" t="str">
        <f>IF(AND('1. Mapa de Riesgos'!$AA$28="Alta",'1. Mapa de Riesgos'!$AC$28="Catastrófico"),CONCATENATE("R7C",'1. Mapa de Riesgos'!$Q$28),"")</f>
        <v/>
      </c>
      <c r="AK22" s="14" t="str">
        <f>IF(AND('1. Mapa de Riesgos'!$AA$29="Alta",'1. Mapa de Riesgos'!$AC$29="Catastrófico"),CONCATENATE("R7C",'1. Mapa de Riesgos'!$Q$29),"")</f>
        <v/>
      </c>
      <c r="AL22" s="14" t="str">
        <f>IF(AND('1. Mapa de Riesgos'!$AA$30="Alta",'1. Mapa de Riesgos'!$AC$30="Catastrófico"),CONCATENATE("R7C",'1. Mapa de Riesgos'!$Q$30),"")</f>
        <v/>
      </c>
      <c r="AM22" s="15" t="str">
        <f>IF(AND('1. Mapa de Riesgos'!$AA$31="Alta",'1. Mapa de Riesgos'!$AC$31="Catastrófico"),CONCATENATE("R7C",'1. Mapa de Riesgos'!$Q$31),"")</f>
        <v/>
      </c>
      <c r="AN22" s="41"/>
      <c r="AO22" s="525"/>
      <c r="AP22" s="526"/>
      <c r="AQ22" s="526"/>
      <c r="AR22" s="526"/>
      <c r="AS22" s="526"/>
      <c r="AT22" s="527"/>
      <c r="AU22" s="41"/>
      <c r="AV22" s="41"/>
      <c r="AW22" s="41"/>
      <c r="AX22" s="41"/>
      <c r="AY22" s="41"/>
      <c r="AZ22" s="41"/>
      <c r="BA22" s="41"/>
      <c r="BB22" s="41"/>
      <c r="BC22" s="41"/>
      <c r="BD22" s="41"/>
      <c r="BE22" s="41"/>
      <c r="BF22" s="41"/>
      <c r="BG22" s="41"/>
      <c r="BH22" s="41"/>
      <c r="BI22" s="41"/>
      <c r="BJ22" s="41"/>
      <c r="BK22" s="41"/>
      <c r="BL22" s="41"/>
      <c r="BM22" s="41"/>
      <c r="BN22" s="41"/>
      <c r="BO22" s="41"/>
      <c r="BP22" s="41"/>
      <c r="BQ22" s="41"/>
      <c r="BR22" s="41"/>
      <c r="BS22" s="41"/>
      <c r="BT22" s="41"/>
      <c r="BU22" s="41"/>
      <c r="BV22" s="41"/>
      <c r="BW22" s="41"/>
      <c r="BX22" s="41"/>
    </row>
    <row r="23" spans="1:76" ht="15" customHeight="1" x14ac:dyDescent="0.25">
      <c r="A23" s="41"/>
      <c r="B23" s="474"/>
      <c r="C23" s="474"/>
      <c r="D23" s="475"/>
      <c r="E23" s="515"/>
      <c r="F23" s="516"/>
      <c r="G23" s="516"/>
      <c r="H23" s="516"/>
      <c r="I23" s="516"/>
      <c r="J23" s="25" t="str">
        <f>IF(AND('1. Mapa de Riesgos'!$AA$20="Alta",'1. Mapa de Riesgos'!$AC$20="Leve"),CONCATENATE("R8C",'1. Mapa de Riesgos'!$Q$20),"")</f>
        <v/>
      </c>
      <c r="K23" s="26" t="str">
        <f>IF(AND('1. Mapa de Riesgos'!$AA$21="Alta",'1. Mapa de Riesgos'!$AC$21="Leve"),CONCATENATE("R8C",'1. Mapa de Riesgos'!$Q$21),"")</f>
        <v/>
      </c>
      <c r="L23" s="26" t="str">
        <f>IF(AND('1. Mapa de Riesgos'!$AA$22="Alta",'1. Mapa de Riesgos'!$AC$22="Leve"),CONCATENATE("R8C",'1. Mapa de Riesgos'!$Q$22),"")</f>
        <v/>
      </c>
      <c r="M23" s="26" t="str">
        <f>IF(AND('1. Mapa de Riesgos'!$AA$23="Alta",'1. Mapa de Riesgos'!$AC$23="Leve"),CONCATENATE("R8C",'1. Mapa de Riesgos'!$Q$23),"")</f>
        <v/>
      </c>
      <c r="N23" s="26" t="str">
        <f>IF(AND('1. Mapa de Riesgos'!$AA$24="Alta",'1. Mapa de Riesgos'!$AC$24="Leve"),CONCATENATE("R8C",'1. Mapa de Riesgos'!$Q$24),"")</f>
        <v/>
      </c>
      <c r="O23" s="27" t="str">
        <f>IF(AND('1. Mapa de Riesgos'!$AA$25="Alta",'1. Mapa de Riesgos'!$AC$25="Leve"),CONCATENATE("R8C",'1. Mapa de Riesgos'!$Q$25),"")</f>
        <v/>
      </c>
      <c r="P23" s="25" t="str">
        <f>IF(AND('1. Mapa de Riesgos'!$AA$20="Alta",'1. Mapa de Riesgos'!$AC$20="Menor"),CONCATENATE("R8C",'1. Mapa de Riesgos'!$Q$20),"")</f>
        <v/>
      </c>
      <c r="Q23" s="26" t="str">
        <f>IF(AND('1. Mapa de Riesgos'!$AA$21="Alta",'1. Mapa de Riesgos'!$AC$21="Menor"),CONCATENATE("R8C",'1. Mapa de Riesgos'!$Q$21),"")</f>
        <v/>
      </c>
      <c r="R23" s="26" t="str">
        <f>IF(AND('1. Mapa de Riesgos'!$AA$22="Alta",'1. Mapa de Riesgos'!$AC$22="Menor"),CONCATENATE("R8C",'1. Mapa de Riesgos'!$Q$22),"")</f>
        <v/>
      </c>
      <c r="S23" s="26" t="str">
        <f>IF(AND('1. Mapa de Riesgos'!$AA$23="Alta",'1. Mapa de Riesgos'!$AC$23="Menor"),CONCATENATE("R8C",'1. Mapa de Riesgos'!$Q$23),"")</f>
        <v/>
      </c>
      <c r="T23" s="26" t="str">
        <f>IF(AND('1. Mapa de Riesgos'!$AA$24="Alta",'1. Mapa de Riesgos'!$AC$24="Menor"),CONCATENATE("R8C",'1. Mapa de Riesgos'!$Q$24),"")</f>
        <v/>
      </c>
      <c r="U23" s="27" t="str">
        <f>IF(AND('1. Mapa de Riesgos'!$AA$25="Alta",'1. Mapa de Riesgos'!$AC$25="Menor"),CONCATENATE("R8C",'1. Mapa de Riesgos'!$Q$25),"")</f>
        <v/>
      </c>
      <c r="V23" s="10" t="str">
        <f>IF(AND('1. Mapa de Riesgos'!$AA$20="Alta",'1. Mapa de Riesgos'!$AC$20="Moderado"),CONCATENATE("R8C",'1. Mapa de Riesgos'!$Q$20),"")</f>
        <v/>
      </c>
      <c r="W23" s="11" t="str">
        <f>IF(AND('1. Mapa de Riesgos'!$AA$21="Alta",'1. Mapa de Riesgos'!$AC$21="Moderado"),CONCATENATE("R8C",'1. Mapa de Riesgos'!$Q$21),"")</f>
        <v/>
      </c>
      <c r="X23" s="11" t="str">
        <f>IF(AND('1. Mapa de Riesgos'!$AA$22="Alta",'1. Mapa de Riesgos'!$AC$22="Moderado"),CONCATENATE("R8C",'1. Mapa de Riesgos'!$Q$22),"")</f>
        <v/>
      </c>
      <c r="Y23" s="11" t="str">
        <f>IF(AND('1. Mapa de Riesgos'!$AA$23="Alta",'1. Mapa de Riesgos'!$AC$23="Moderado"),CONCATENATE("R8C",'1. Mapa de Riesgos'!$Q$23),"")</f>
        <v/>
      </c>
      <c r="Z23" s="11" t="str">
        <f>IF(AND('1. Mapa de Riesgos'!$AA$24="Alta",'1. Mapa de Riesgos'!$AC$24="Moderado"),CONCATENATE("R8C",'1. Mapa de Riesgos'!$Q$24),"")</f>
        <v/>
      </c>
      <c r="AA23" s="12" t="str">
        <f>IF(AND('1. Mapa de Riesgos'!$AA$25="Alta",'1. Mapa de Riesgos'!$AC$25="Moderado"),CONCATENATE("R8C",'1. Mapa de Riesgos'!$Q$25),"")</f>
        <v/>
      </c>
      <c r="AB23" s="10" t="str">
        <f>IF(AND('1. Mapa de Riesgos'!$AA$20="Alta",'1. Mapa de Riesgos'!$AC$20="Mayor"),CONCATENATE("R8C",'1. Mapa de Riesgos'!$Q$20),"")</f>
        <v/>
      </c>
      <c r="AC23" s="11" t="str">
        <f>IF(AND('1. Mapa de Riesgos'!$AA$21="Alta",'1. Mapa de Riesgos'!$AC$21="Mayor"),CONCATENATE("R8C",'1. Mapa de Riesgos'!$Q$21),"")</f>
        <v/>
      </c>
      <c r="AD23" s="11" t="str">
        <f>IF(AND('1. Mapa de Riesgos'!$AA$22="Alta",'1. Mapa de Riesgos'!$AC$22="Mayor"),CONCATENATE("R8C",'1. Mapa de Riesgos'!$Q$22),"")</f>
        <v/>
      </c>
      <c r="AE23" s="11" t="str">
        <f>IF(AND('1. Mapa de Riesgos'!$AA$23="Alta",'1. Mapa de Riesgos'!$AC$23="Mayor"),CONCATENATE("R8C",'1. Mapa de Riesgos'!$Q$23),"")</f>
        <v/>
      </c>
      <c r="AF23" s="11" t="str">
        <f>IF(AND('1. Mapa de Riesgos'!$AA$24="Alta",'1. Mapa de Riesgos'!$AC$24="Mayor"),CONCATENATE("R8C",'1. Mapa de Riesgos'!$Q$24),"")</f>
        <v/>
      </c>
      <c r="AG23" s="12" t="str">
        <f>IF(AND('1. Mapa de Riesgos'!$AA$25="Alta",'1. Mapa de Riesgos'!$AC$25="Mayor"),CONCATENATE("R8C",'1. Mapa de Riesgos'!$Q$25),"")</f>
        <v/>
      </c>
      <c r="AH23" s="13" t="str">
        <f>IF(AND('1. Mapa de Riesgos'!$AA$20="Alta",'1. Mapa de Riesgos'!$AC$20="Catastrófico"),CONCATENATE("R8C",'1. Mapa de Riesgos'!$Q$20),"")</f>
        <v/>
      </c>
      <c r="AI23" s="14" t="str">
        <f>IF(AND('1. Mapa de Riesgos'!$AA$21="Alta",'1. Mapa de Riesgos'!$AC$21="Catastrófico"),CONCATENATE("R8C",'1. Mapa de Riesgos'!$Q$21),"")</f>
        <v/>
      </c>
      <c r="AJ23" s="14" t="str">
        <f>IF(AND('1. Mapa de Riesgos'!$AA$22="Alta",'1. Mapa de Riesgos'!$AC$22="Catastrófico"),CONCATENATE("R8C",'1. Mapa de Riesgos'!$Q$22),"")</f>
        <v/>
      </c>
      <c r="AK23" s="14" t="str">
        <f>IF(AND('1. Mapa de Riesgos'!$AA$23="Alta",'1. Mapa de Riesgos'!$AC$23="Catastrófico"),CONCATENATE("R8C",'1. Mapa de Riesgos'!$Q$23),"")</f>
        <v/>
      </c>
      <c r="AL23" s="14" t="str">
        <f>IF(AND('1. Mapa de Riesgos'!$AA$24="Alta",'1. Mapa de Riesgos'!$AC$24="Catastrófico"),CONCATENATE("R8C",'1. Mapa de Riesgos'!$Q$24),"")</f>
        <v/>
      </c>
      <c r="AM23" s="15" t="str">
        <f>IF(AND('1. Mapa de Riesgos'!$AA$25="Alta",'1. Mapa de Riesgos'!$AC$25="Catastrófico"),CONCATENATE("R8C",'1. Mapa de Riesgos'!$Q$25),"")</f>
        <v/>
      </c>
      <c r="AN23" s="41"/>
      <c r="AO23" s="525"/>
      <c r="AP23" s="526"/>
      <c r="AQ23" s="526"/>
      <c r="AR23" s="526"/>
      <c r="AS23" s="526"/>
      <c r="AT23" s="527"/>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row>
    <row r="24" spans="1:76" ht="15" customHeight="1" x14ac:dyDescent="0.25">
      <c r="A24" s="41"/>
      <c r="B24" s="474"/>
      <c r="C24" s="474"/>
      <c r="D24" s="475"/>
      <c r="E24" s="515"/>
      <c r="F24" s="516"/>
      <c r="G24" s="516"/>
      <c r="H24" s="516"/>
      <c r="I24" s="516"/>
      <c r="J24" s="25" t="str">
        <f>IF(AND('1. Mapa de Riesgos'!$AA$62="Alta",'1. Mapa de Riesgos'!$AC$62="Leve"),CONCATENATE("R9C",'1. Mapa de Riesgos'!$Q$62),"")</f>
        <v/>
      </c>
      <c r="K24" s="26" t="str">
        <f>IF(AND('1. Mapa de Riesgos'!$AA$63="Alta",'1. Mapa de Riesgos'!$AC$63="Leve"),CONCATENATE("R9C",'1. Mapa de Riesgos'!$Q$63),"")</f>
        <v/>
      </c>
      <c r="L24" s="26" t="str">
        <f>IF(AND('1. Mapa de Riesgos'!$AA$64="Alta",'1. Mapa de Riesgos'!$AC$64="Leve"),CONCATENATE("R9C",'1. Mapa de Riesgos'!$Q$64),"")</f>
        <v/>
      </c>
      <c r="M24" s="26" t="str">
        <f>IF(AND('1. Mapa de Riesgos'!$AA$65="Alta",'1. Mapa de Riesgos'!$AC$65="Leve"),CONCATENATE("R9C",'1. Mapa de Riesgos'!$Q$65),"")</f>
        <v/>
      </c>
      <c r="N24" s="26" t="str">
        <f>IF(AND('1. Mapa de Riesgos'!$AA$66="Alta",'1. Mapa de Riesgos'!$AC$66="Leve"),CONCATENATE("R9C",'1. Mapa de Riesgos'!$Q$66),"")</f>
        <v/>
      </c>
      <c r="O24" s="27" t="str">
        <f>IF(AND('1. Mapa de Riesgos'!$AA$67="Alta",'1. Mapa de Riesgos'!$AC$67="Leve"),CONCATENATE("R9C",'1. Mapa de Riesgos'!$Q$67),"")</f>
        <v/>
      </c>
      <c r="P24" s="25" t="str">
        <f>IF(AND('1. Mapa de Riesgos'!$AA$62="Alta",'1. Mapa de Riesgos'!$AC$62="Menor"),CONCATENATE("R9C",'1. Mapa de Riesgos'!$Q$62),"")</f>
        <v/>
      </c>
      <c r="Q24" s="26" t="str">
        <f>IF(AND('1. Mapa de Riesgos'!$AA$63="Alta",'1. Mapa de Riesgos'!$AC$63="Menor"),CONCATENATE("R9C",'1. Mapa de Riesgos'!$Q$63),"")</f>
        <v/>
      </c>
      <c r="R24" s="26" t="str">
        <f>IF(AND('1. Mapa de Riesgos'!$AA$64="Alta",'1. Mapa de Riesgos'!$AC$64="Menor"),CONCATENATE("R9C",'1. Mapa de Riesgos'!$Q$64),"")</f>
        <v/>
      </c>
      <c r="S24" s="26" t="str">
        <f>IF(AND('1. Mapa de Riesgos'!$AA$65="Alta",'1. Mapa de Riesgos'!$AC$65="Menor"),CONCATENATE("R9C",'1. Mapa de Riesgos'!$Q$65),"")</f>
        <v/>
      </c>
      <c r="T24" s="26" t="str">
        <f>IF(AND('1. Mapa de Riesgos'!$AA$66="Alta",'1. Mapa de Riesgos'!$AC$66="Menor"),CONCATENATE("R9C",'1. Mapa de Riesgos'!$Q$66),"")</f>
        <v/>
      </c>
      <c r="U24" s="27" t="str">
        <f>IF(AND('1. Mapa de Riesgos'!$AA$67="Alta",'1. Mapa de Riesgos'!$AC$67="Menor"),CONCATENATE("R9C",'1. Mapa de Riesgos'!$Q$67),"")</f>
        <v/>
      </c>
      <c r="V24" s="10" t="str">
        <f>IF(AND('1. Mapa de Riesgos'!$AA$62="Alta",'1. Mapa de Riesgos'!$AC$62="Moderado"),CONCATENATE("R9C",'1. Mapa de Riesgos'!$Q$62),"")</f>
        <v/>
      </c>
      <c r="W24" s="11" t="str">
        <f>IF(AND('1. Mapa de Riesgos'!$AA$63="Alta",'1. Mapa de Riesgos'!$AC$63="Moderado"),CONCATENATE("R9C",'1. Mapa de Riesgos'!$Q$63),"")</f>
        <v/>
      </c>
      <c r="X24" s="11" t="str">
        <f>IF(AND('1. Mapa de Riesgos'!$AA$64="Alta",'1. Mapa de Riesgos'!$AC$64="Moderado"),CONCATENATE("R9C",'1. Mapa de Riesgos'!$Q$64),"")</f>
        <v/>
      </c>
      <c r="Y24" s="11" t="str">
        <f>IF(AND('1. Mapa de Riesgos'!$AA$65="Alta",'1. Mapa de Riesgos'!$AC$65="Moderado"),CONCATENATE("R9C",'1. Mapa de Riesgos'!$Q$65),"")</f>
        <v/>
      </c>
      <c r="Z24" s="11" t="str">
        <f>IF(AND('1. Mapa de Riesgos'!$AA$66="Alta",'1. Mapa de Riesgos'!$AC$66="Moderado"),CONCATENATE("R9C",'1. Mapa de Riesgos'!$Q$66),"")</f>
        <v/>
      </c>
      <c r="AA24" s="12" t="str">
        <f>IF(AND('1. Mapa de Riesgos'!$AA$67="Alta",'1. Mapa de Riesgos'!$AC$67="Moderado"),CONCATENATE("R9C",'1. Mapa de Riesgos'!$Q$67),"")</f>
        <v/>
      </c>
      <c r="AB24" s="10" t="str">
        <f>IF(AND('1. Mapa de Riesgos'!$AA$62="Alta",'1. Mapa de Riesgos'!$AC$62="Mayor"),CONCATENATE("R9C",'1. Mapa de Riesgos'!$Q$62),"")</f>
        <v/>
      </c>
      <c r="AC24" s="11" t="str">
        <f>IF(AND('1. Mapa de Riesgos'!$AA$63="Alta",'1. Mapa de Riesgos'!$AC$63="Mayor"),CONCATENATE("R9C",'1. Mapa de Riesgos'!$Q$63),"")</f>
        <v/>
      </c>
      <c r="AD24" s="11" t="str">
        <f>IF(AND('1. Mapa de Riesgos'!$AA$64="Alta",'1. Mapa de Riesgos'!$AC$64="Mayor"),CONCATENATE("R9C",'1. Mapa de Riesgos'!$Q$64),"")</f>
        <v/>
      </c>
      <c r="AE24" s="11" t="str">
        <f>IF(AND('1. Mapa de Riesgos'!$AA$65="Alta",'1. Mapa de Riesgos'!$AC$65="Mayor"),CONCATENATE("R9C",'1. Mapa de Riesgos'!$Q$65),"")</f>
        <v/>
      </c>
      <c r="AF24" s="11" t="str">
        <f>IF(AND('1. Mapa de Riesgos'!$AA$66="Alta",'1. Mapa de Riesgos'!$AC$66="Mayor"),CONCATENATE("R9C",'1. Mapa de Riesgos'!$Q$66),"")</f>
        <v/>
      </c>
      <c r="AG24" s="12" t="str">
        <f>IF(AND('1. Mapa de Riesgos'!$AA$67="Alta",'1. Mapa de Riesgos'!$AC$67="Mayor"),CONCATENATE("R9C",'1. Mapa de Riesgos'!$Q$67),"")</f>
        <v/>
      </c>
      <c r="AH24" s="13" t="str">
        <f>IF(AND('1. Mapa de Riesgos'!$AA$62="Alta",'1. Mapa de Riesgos'!$AC$62="Catastrófico"),CONCATENATE("R9C",'1. Mapa de Riesgos'!$Q$62),"")</f>
        <v/>
      </c>
      <c r="AI24" s="14" t="str">
        <f>IF(AND('1. Mapa de Riesgos'!$AA$63="Alta",'1. Mapa de Riesgos'!$AC$63="Catastrófico"),CONCATENATE("R9C",'1. Mapa de Riesgos'!$Q$63),"")</f>
        <v/>
      </c>
      <c r="AJ24" s="14" t="str">
        <f>IF(AND('1. Mapa de Riesgos'!$AA$64="Alta",'1. Mapa de Riesgos'!$AC$64="Catastrófico"),CONCATENATE("R9C",'1. Mapa de Riesgos'!$Q$64),"")</f>
        <v/>
      </c>
      <c r="AK24" s="14" t="str">
        <f>IF(AND('1. Mapa de Riesgos'!$AA$65="Alta",'1. Mapa de Riesgos'!$AC$65="Catastrófico"),CONCATENATE("R9C",'1. Mapa de Riesgos'!$Q$65),"")</f>
        <v/>
      </c>
      <c r="AL24" s="14" t="str">
        <f>IF(AND('1. Mapa de Riesgos'!$AA$66="Alta",'1. Mapa de Riesgos'!$AC$66="Catastrófico"),CONCATENATE("R9C",'1. Mapa de Riesgos'!$Q$66),"")</f>
        <v/>
      </c>
      <c r="AM24" s="15" t="str">
        <f>IF(AND('1. Mapa de Riesgos'!$AA$67="Alta",'1. Mapa de Riesgos'!$AC$67="Catastrófico"),CONCATENATE("R9C",'1. Mapa de Riesgos'!$Q$67),"")</f>
        <v/>
      </c>
      <c r="AN24" s="41"/>
      <c r="AO24" s="525"/>
      <c r="AP24" s="526"/>
      <c r="AQ24" s="526"/>
      <c r="AR24" s="526"/>
      <c r="AS24" s="526"/>
      <c r="AT24" s="527"/>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row>
    <row r="25" spans="1:76" ht="15.75" customHeight="1" thickBot="1" x14ac:dyDescent="0.3">
      <c r="A25" s="41"/>
      <c r="B25" s="474"/>
      <c r="C25" s="474"/>
      <c r="D25" s="475"/>
      <c r="E25" s="518"/>
      <c r="F25" s="519"/>
      <c r="G25" s="519"/>
      <c r="H25" s="519"/>
      <c r="I25" s="519"/>
      <c r="J25" s="28" t="str">
        <f>IF(AND('1. Mapa de Riesgos'!$AA$68="Alta",'1. Mapa de Riesgos'!$AC$68="Leve"),CONCATENATE("R10C",'1. Mapa de Riesgos'!$Q$68),"")</f>
        <v/>
      </c>
      <c r="K25" s="29" t="str">
        <f>IF(AND('1. Mapa de Riesgos'!$AA$69="Alta",'1. Mapa de Riesgos'!$AC$69="Leve"),CONCATENATE("R10C",'1. Mapa de Riesgos'!$Q$69),"")</f>
        <v/>
      </c>
      <c r="L25" s="29" t="str">
        <f>IF(AND('1. Mapa de Riesgos'!$AA$70="Alta",'1. Mapa de Riesgos'!$AC$70="Leve"),CONCATENATE("R10C",'1. Mapa de Riesgos'!$Q$70),"")</f>
        <v/>
      </c>
      <c r="M25" s="29" t="str">
        <f>IF(AND('1. Mapa de Riesgos'!$AA$71="Alta",'1. Mapa de Riesgos'!$AC$71="Leve"),CONCATENATE("R10C",'1. Mapa de Riesgos'!$Q$71),"")</f>
        <v/>
      </c>
      <c r="N25" s="29" t="str">
        <f>IF(AND('1. Mapa de Riesgos'!$AA$72="Alta",'1. Mapa de Riesgos'!$AC$72="Leve"),CONCATENATE("R10C",'1. Mapa de Riesgos'!$Q$72),"")</f>
        <v/>
      </c>
      <c r="O25" s="30" t="str">
        <f>IF(AND('1. Mapa de Riesgos'!$AA$73="Alta",'1. Mapa de Riesgos'!$AC$73="Leve"),CONCATENATE("R10C",'1. Mapa de Riesgos'!$Q$73),"")</f>
        <v/>
      </c>
      <c r="P25" s="28" t="str">
        <f>IF(AND('1. Mapa de Riesgos'!$AA$68="Alta",'1. Mapa de Riesgos'!$AC$68="Menor"),CONCATENATE("R10C",'1. Mapa de Riesgos'!$Q$68),"")</f>
        <v/>
      </c>
      <c r="Q25" s="29" t="str">
        <f>IF(AND('1. Mapa de Riesgos'!$AA$69="Alta",'1. Mapa de Riesgos'!$AC$69="Menor"),CONCATENATE("R10C",'1. Mapa de Riesgos'!$Q$69),"")</f>
        <v/>
      </c>
      <c r="R25" s="29" t="str">
        <f>IF(AND('1. Mapa de Riesgos'!$AA$70="Alta",'1. Mapa de Riesgos'!$AC$70="Menor"),CONCATENATE("R10C",'1. Mapa de Riesgos'!$Q$70),"")</f>
        <v/>
      </c>
      <c r="S25" s="29" t="str">
        <f>IF(AND('1. Mapa de Riesgos'!$AA$71="Alta",'1. Mapa de Riesgos'!$AC$71="Menor"),CONCATENATE("R10C",'1. Mapa de Riesgos'!$Q$71),"")</f>
        <v/>
      </c>
      <c r="T25" s="29" t="str">
        <f>IF(AND('1. Mapa de Riesgos'!$AA$72="Alta",'1. Mapa de Riesgos'!$AC$72="Menor"),CONCATENATE("R10C",'1. Mapa de Riesgos'!$Q$72),"")</f>
        <v/>
      </c>
      <c r="U25" s="30" t="str">
        <f>IF(AND('1. Mapa de Riesgos'!$AA$73="Alta",'1. Mapa de Riesgos'!$AC$73="Menor"),CONCATENATE("R10C",'1. Mapa de Riesgos'!$Q$73),"")</f>
        <v/>
      </c>
      <c r="V25" s="16" t="str">
        <f>IF(AND('1. Mapa de Riesgos'!$AA$68="Alta",'1. Mapa de Riesgos'!$AC$68="Moderado"),CONCATENATE("R10C",'1. Mapa de Riesgos'!$Q$68),"")</f>
        <v/>
      </c>
      <c r="W25" s="17" t="str">
        <f>IF(AND('1. Mapa de Riesgos'!$AA$69="Alta",'1. Mapa de Riesgos'!$AC$69="Moderado"),CONCATENATE("R10C",'1. Mapa de Riesgos'!$Q$69),"")</f>
        <v/>
      </c>
      <c r="X25" s="17" t="str">
        <f>IF(AND('1. Mapa de Riesgos'!$AA$70="Alta",'1. Mapa de Riesgos'!$AC$70="Moderado"),CONCATENATE("R10C",'1. Mapa de Riesgos'!$Q$70),"")</f>
        <v/>
      </c>
      <c r="Y25" s="17" t="str">
        <f>IF(AND('1. Mapa de Riesgos'!$AA$71="Alta",'1. Mapa de Riesgos'!$AC$71="Moderado"),CONCATENATE("R10C",'1. Mapa de Riesgos'!$Q$71),"")</f>
        <v/>
      </c>
      <c r="Z25" s="17" t="str">
        <f>IF(AND('1. Mapa de Riesgos'!$AA$72="Alta",'1. Mapa de Riesgos'!$AC$72="Moderado"),CONCATENATE("R10C",'1. Mapa de Riesgos'!$Q$72),"")</f>
        <v/>
      </c>
      <c r="AA25" s="18" t="str">
        <f>IF(AND('1. Mapa de Riesgos'!$AA$73="Alta",'1. Mapa de Riesgos'!$AC$73="Moderado"),CONCATENATE("R10C",'1. Mapa de Riesgos'!$Q$73),"")</f>
        <v/>
      </c>
      <c r="AB25" s="16" t="str">
        <f>IF(AND('1. Mapa de Riesgos'!$AA$68="Alta",'1. Mapa de Riesgos'!$AC$68="Mayor"),CONCATENATE("R10C",'1. Mapa de Riesgos'!$Q$68),"")</f>
        <v/>
      </c>
      <c r="AC25" s="17" t="str">
        <f>IF(AND('1. Mapa de Riesgos'!$AA$69="Alta",'1. Mapa de Riesgos'!$AC$69="Mayor"),CONCATENATE("R10C",'1. Mapa de Riesgos'!$Q$69),"")</f>
        <v/>
      </c>
      <c r="AD25" s="17" t="str">
        <f>IF(AND('1. Mapa de Riesgos'!$AA$70="Alta",'1. Mapa de Riesgos'!$AC$70="Mayor"),CONCATENATE("R10C",'1. Mapa de Riesgos'!$Q$70),"")</f>
        <v/>
      </c>
      <c r="AE25" s="17" t="str">
        <f>IF(AND('1. Mapa de Riesgos'!$AA$71="Alta",'1. Mapa de Riesgos'!$AC$71="Mayor"),CONCATENATE("R10C",'1. Mapa de Riesgos'!$Q$71),"")</f>
        <v/>
      </c>
      <c r="AF25" s="17" t="str">
        <f>IF(AND('1. Mapa de Riesgos'!$AA$72="Alta",'1. Mapa de Riesgos'!$AC$72="Mayor"),CONCATENATE("R10C",'1. Mapa de Riesgos'!$Q$72),"")</f>
        <v/>
      </c>
      <c r="AG25" s="18" t="str">
        <f>IF(AND('1. Mapa de Riesgos'!$AA$73="Alta",'1. Mapa de Riesgos'!$AC$73="Mayor"),CONCATENATE("R10C",'1. Mapa de Riesgos'!$Q$73),"")</f>
        <v/>
      </c>
      <c r="AH25" s="19" t="str">
        <f>IF(AND('1. Mapa de Riesgos'!$AA$68="Alta",'1. Mapa de Riesgos'!$AC$68="Catastrófico"),CONCATENATE("R10C",'1. Mapa de Riesgos'!$Q$68),"")</f>
        <v/>
      </c>
      <c r="AI25" s="20" t="str">
        <f>IF(AND('1. Mapa de Riesgos'!$AA$69="Alta",'1. Mapa de Riesgos'!$AC$69="Catastrófico"),CONCATENATE("R10C",'1. Mapa de Riesgos'!$Q$69),"")</f>
        <v/>
      </c>
      <c r="AJ25" s="20" t="str">
        <f>IF(AND('1. Mapa de Riesgos'!$AA$70="Alta",'1. Mapa de Riesgos'!$AC$70="Catastrófico"),CONCATENATE("R10C",'1. Mapa de Riesgos'!$Q$70),"")</f>
        <v/>
      </c>
      <c r="AK25" s="20" t="str">
        <f>IF(AND('1. Mapa de Riesgos'!$AA$71="Alta",'1. Mapa de Riesgos'!$AC$71="Catastrófico"),CONCATENATE("R10C",'1. Mapa de Riesgos'!$Q$71),"")</f>
        <v/>
      </c>
      <c r="AL25" s="20" t="str">
        <f>IF(AND('1. Mapa de Riesgos'!$AA$72="Alta",'1. Mapa de Riesgos'!$AC$72="Catastrófico"),CONCATENATE("R10C",'1. Mapa de Riesgos'!$Q$72),"")</f>
        <v/>
      </c>
      <c r="AM25" s="21" t="str">
        <f>IF(AND('1. Mapa de Riesgos'!$AA$73="Alta",'1. Mapa de Riesgos'!$AC$73="Catastrófico"),CONCATENATE("R10C",'1. Mapa de Riesgos'!$Q$73),"")</f>
        <v/>
      </c>
      <c r="AN25" s="41"/>
      <c r="AO25" s="528"/>
      <c r="AP25" s="529"/>
      <c r="AQ25" s="529"/>
      <c r="AR25" s="529"/>
      <c r="AS25" s="529"/>
      <c r="AT25" s="530"/>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row>
    <row r="26" spans="1:76" ht="15" customHeight="1" x14ac:dyDescent="0.25">
      <c r="A26" s="41"/>
      <c r="B26" s="474"/>
      <c r="C26" s="474"/>
      <c r="D26" s="475"/>
      <c r="E26" s="512" t="s">
        <v>115</v>
      </c>
      <c r="F26" s="513"/>
      <c r="G26" s="513"/>
      <c r="H26" s="513"/>
      <c r="I26" s="514"/>
      <c r="J26" s="22" t="str">
        <f>IF(AND('1. Mapa de Riesgos'!$AA$14="Media",'1. Mapa de Riesgos'!$AC$14="Leve"),CONCATENATE("R1C",'1. Mapa de Riesgos'!$Q$14),"")</f>
        <v/>
      </c>
      <c r="K26" s="23" t="str">
        <f>IF(AND('1. Mapa de Riesgos'!$AA$15="Media",'1. Mapa de Riesgos'!$AC$15="Leve"),CONCATENATE("R1C",'1. Mapa de Riesgos'!$Q$15),"")</f>
        <v/>
      </c>
      <c r="L26" s="23" t="str">
        <f>IF(AND('1. Mapa de Riesgos'!$AA$16="Media",'1. Mapa de Riesgos'!$AC$16="Leve"),CONCATENATE("R1C",'1. Mapa de Riesgos'!$Q$16),"")</f>
        <v/>
      </c>
      <c r="M26" s="23" t="str">
        <f>IF(AND('1. Mapa de Riesgos'!$AA$17="Media",'1. Mapa de Riesgos'!$AC$17="Leve"),CONCATENATE("R1C",'1. Mapa de Riesgos'!$Q$17),"")</f>
        <v/>
      </c>
      <c r="N26" s="23" t="str">
        <f>IF(AND('1. Mapa de Riesgos'!$AA$18="Media",'1. Mapa de Riesgos'!$AC$18="Leve"),CONCATENATE("R1C",'1. Mapa de Riesgos'!$Q$18),"")</f>
        <v/>
      </c>
      <c r="O26" s="24" t="str">
        <f>IF(AND('1. Mapa de Riesgos'!$AA$19="Media",'1. Mapa de Riesgos'!$AC$19="Leve"),CONCATENATE("R1C",'1. Mapa de Riesgos'!$Q$19),"")</f>
        <v/>
      </c>
      <c r="P26" s="22" t="str">
        <f>IF(AND('1. Mapa de Riesgos'!$AA$14="Media",'1. Mapa de Riesgos'!$AC$14="Menor"),CONCATENATE("R1C",'1. Mapa de Riesgos'!$Q$14),"")</f>
        <v/>
      </c>
      <c r="Q26" s="23" t="str">
        <f>IF(AND('1. Mapa de Riesgos'!$AA$15="Media",'1. Mapa de Riesgos'!$AC$15="Menor"),CONCATENATE("R1C",'1. Mapa de Riesgos'!$Q$15),"")</f>
        <v/>
      </c>
      <c r="R26" s="23" t="str">
        <f>IF(AND('1. Mapa de Riesgos'!$AA$16="Media",'1. Mapa de Riesgos'!$AC$16="Menor"),CONCATENATE("R1C",'1. Mapa de Riesgos'!$Q$16),"")</f>
        <v/>
      </c>
      <c r="S26" s="23" t="str">
        <f>IF(AND('1. Mapa de Riesgos'!$AA$17="Media",'1. Mapa de Riesgos'!$AC$17="Menor"),CONCATENATE("R1C",'1. Mapa de Riesgos'!$Q$17),"")</f>
        <v/>
      </c>
      <c r="T26" s="23" t="str">
        <f>IF(AND('1. Mapa de Riesgos'!$AA$18="Media",'1. Mapa de Riesgos'!$AC$18="Menor"),CONCATENATE("R1C",'1. Mapa de Riesgos'!$Q$18),"")</f>
        <v/>
      </c>
      <c r="U26" s="24" t="str">
        <f>IF(AND('1. Mapa de Riesgos'!$AA$19="Media",'1. Mapa de Riesgos'!$AC$19="Menor"),CONCATENATE("R1C",'1. Mapa de Riesgos'!$Q$19),"")</f>
        <v/>
      </c>
      <c r="V26" s="22" t="str">
        <f>IF(AND('1. Mapa de Riesgos'!$AA$14="Media",'1. Mapa de Riesgos'!$AC$14="Moderado"),CONCATENATE("R1C",'1. Mapa de Riesgos'!$Q$14),"")</f>
        <v/>
      </c>
      <c r="W26" s="23" t="str">
        <f>IF(AND('1. Mapa de Riesgos'!$AA$15="Media",'1. Mapa de Riesgos'!$AC$15="Moderado"),CONCATENATE("R1C",'1. Mapa de Riesgos'!$Q$15),"")</f>
        <v/>
      </c>
      <c r="X26" s="23" t="str">
        <f>IF(AND('1. Mapa de Riesgos'!$AA$16="Media",'1. Mapa de Riesgos'!$AC$16="Moderado"),CONCATENATE("R1C",'1. Mapa de Riesgos'!$Q$16),"")</f>
        <v/>
      </c>
      <c r="Y26" s="23" t="str">
        <f>IF(AND('1. Mapa de Riesgos'!$AA$17="Media",'1. Mapa de Riesgos'!$AC$17="Moderado"),CONCATENATE("R1C",'1. Mapa de Riesgos'!$Q$17),"")</f>
        <v/>
      </c>
      <c r="Z26" s="23" t="str">
        <f>IF(AND('1. Mapa de Riesgos'!$AA$18="Media",'1. Mapa de Riesgos'!$AC$18="Moderado"),CONCATENATE("R1C",'1. Mapa de Riesgos'!$Q$18),"")</f>
        <v/>
      </c>
      <c r="AA26" s="24" t="str">
        <f>IF(AND('1. Mapa de Riesgos'!$AA$19="Media",'1. Mapa de Riesgos'!$AC$19="Moderado"),CONCATENATE("R1C",'1. Mapa de Riesgos'!$Q$19),"")</f>
        <v/>
      </c>
      <c r="AB26" s="4" t="str">
        <f>IF(AND('1. Mapa de Riesgos'!$AA$14="Media",'1. Mapa de Riesgos'!$AC$14="Mayor"),CONCATENATE("R1C",'1. Mapa de Riesgos'!$Q$14),"")</f>
        <v/>
      </c>
      <c r="AC26" s="5" t="str">
        <f>IF(AND('1. Mapa de Riesgos'!$AA$15="Media",'1. Mapa de Riesgos'!$AC$15="Mayor"),CONCATENATE("R1C",'1. Mapa de Riesgos'!$Q$15),"")</f>
        <v/>
      </c>
      <c r="AD26" s="5" t="str">
        <f>IF(AND('1. Mapa de Riesgos'!$AA$16="Media",'1. Mapa de Riesgos'!$AC$16="Mayor"),CONCATENATE("R1C",'1. Mapa de Riesgos'!$Q$16),"")</f>
        <v/>
      </c>
      <c r="AE26" s="5" t="str">
        <f>IF(AND('1. Mapa de Riesgos'!$AA$17="Media",'1. Mapa de Riesgos'!$AC$17="Mayor"),CONCATENATE("R1C",'1. Mapa de Riesgos'!$Q$17),"")</f>
        <v/>
      </c>
      <c r="AF26" s="5" t="str">
        <f>IF(AND('1. Mapa de Riesgos'!$AA$18="Media",'1. Mapa de Riesgos'!$AC$18="Mayor"),CONCATENATE("R1C",'1. Mapa de Riesgos'!$Q$18),"")</f>
        <v/>
      </c>
      <c r="AG26" s="6" t="str">
        <f>IF(AND('1. Mapa de Riesgos'!$AA$19="Media",'1. Mapa de Riesgos'!$AC$19="Mayor"),CONCATENATE("R1C",'1. Mapa de Riesgos'!$Q$19),"")</f>
        <v/>
      </c>
      <c r="AH26" s="7" t="str">
        <f>IF(AND('1. Mapa de Riesgos'!$AA$14="Media",'1. Mapa de Riesgos'!$AC$14="Catastrófico"),CONCATENATE("R1C",'1. Mapa de Riesgos'!$Q$14),"")</f>
        <v/>
      </c>
      <c r="AI26" s="8" t="str">
        <f>IF(AND('1. Mapa de Riesgos'!$AA$15="Media",'1. Mapa de Riesgos'!$AC$15="Catastrófico"),CONCATENATE("R1C",'1. Mapa de Riesgos'!$Q$15),"")</f>
        <v/>
      </c>
      <c r="AJ26" s="8" t="str">
        <f>IF(AND('1. Mapa de Riesgos'!$AA$16="Media",'1. Mapa de Riesgos'!$AC$16="Catastrófico"),CONCATENATE("R1C",'1. Mapa de Riesgos'!$Q$16),"")</f>
        <v/>
      </c>
      <c r="AK26" s="8" t="str">
        <f>IF(AND('1. Mapa de Riesgos'!$AA$17="Media",'1. Mapa de Riesgos'!$AC$17="Catastrófico"),CONCATENATE("R1C",'1. Mapa de Riesgos'!$Q$17),"")</f>
        <v/>
      </c>
      <c r="AL26" s="8" t="str">
        <f>IF(AND('1. Mapa de Riesgos'!$AA$18="Media",'1. Mapa de Riesgos'!$AC$18="Catastrófico"),CONCATENATE("R1C",'1. Mapa de Riesgos'!$Q$18),"")</f>
        <v/>
      </c>
      <c r="AM26" s="9" t="str">
        <f>IF(AND('1. Mapa de Riesgos'!$AA$19="Media",'1. Mapa de Riesgos'!$AC$19="Catastrófico"),CONCATENATE("R1C",'1. Mapa de Riesgos'!$Q$19),"")</f>
        <v/>
      </c>
      <c r="AN26" s="41"/>
      <c r="AO26" s="552" t="s">
        <v>116</v>
      </c>
      <c r="AP26" s="553"/>
      <c r="AQ26" s="553"/>
      <c r="AR26" s="553"/>
      <c r="AS26" s="553"/>
      <c r="AT26" s="554"/>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row>
    <row r="27" spans="1:76" ht="15" customHeight="1" x14ac:dyDescent="0.25">
      <c r="A27" s="41"/>
      <c r="B27" s="474"/>
      <c r="C27" s="474"/>
      <c r="D27" s="475"/>
      <c r="E27" s="531"/>
      <c r="F27" s="516"/>
      <c r="G27" s="516"/>
      <c r="H27" s="516"/>
      <c r="I27" s="517"/>
      <c r="J27" s="25" t="str">
        <f>IF(AND('1. Mapa de Riesgos'!$AA$32="Media",'1. Mapa de Riesgos'!$AC$32="Leve"),CONCATENATE("R2C",'1. Mapa de Riesgos'!$Q$32),"")</f>
        <v/>
      </c>
      <c r="K27" s="26" t="str">
        <f>IF(AND('1. Mapa de Riesgos'!$AA$33="Media",'1. Mapa de Riesgos'!$AC$33="Leve"),CONCATENATE("R2C",'1. Mapa de Riesgos'!$Q$33),"")</f>
        <v/>
      </c>
      <c r="L27" s="26" t="str">
        <f>IF(AND('1. Mapa de Riesgos'!$AA$34="Media",'1. Mapa de Riesgos'!$AC$34="Leve"),CONCATENATE("R2C",'1. Mapa de Riesgos'!$Q$34),"")</f>
        <v/>
      </c>
      <c r="M27" s="26" t="str">
        <f>IF(AND('1. Mapa de Riesgos'!$AA$35="Media",'1. Mapa de Riesgos'!$AC$35="Leve"),CONCATENATE("R2C",'1. Mapa de Riesgos'!$Q$35),"")</f>
        <v/>
      </c>
      <c r="N27" s="26" t="str">
        <f>IF(AND('1. Mapa de Riesgos'!$AA$36="Media",'1. Mapa de Riesgos'!$AC$36="Leve"),CONCATENATE("R2C",'1. Mapa de Riesgos'!$Q$36),"")</f>
        <v/>
      </c>
      <c r="O27" s="27" t="str">
        <f>IF(AND('1. Mapa de Riesgos'!$AA$37="Media",'1. Mapa de Riesgos'!$AC$37="Leve"),CONCATENATE("R2C",'1. Mapa de Riesgos'!$Q$37),"")</f>
        <v/>
      </c>
      <c r="P27" s="25" t="str">
        <f>IF(AND('1. Mapa de Riesgos'!$AA$32="Media",'1. Mapa de Riesgos'!$AC$32="Menor"),CONCATENATE("R2C",'1. Mapa de Riesgos'!$Q$32),"")</f>
        <v/>
      </c>
      <c r="Q27" s="26" t="str">
        <f>IF(AND('1. Mapa de Riesgos'!$AA$33="Media",'1. Mapa de Riesgos'!$AC$33="Menor"),CONCATENATE("R2C",'1. Mapa de Riesgos'!$Q$33),"")</f>
        <v/>
      </c>
      <c r="R27" s="26" t="str">
        <f>IF(AND('1. Mapa de Riesgos'!$AA$34="Media",'1. Mapa de Riesgos'!$AC$34="Menor"),CONCATENATE("R2C",'1. Mapa de Riesgos'!$Q$34),"")</f>
        <v/>
      </c>
      <c r="S27" s="26" t="str">
        <f>IF(AND('1. Mapa de Riesgos'!$AA$35="Media",'1. Mapa de Riesgos'!$AC$35="Menor"),CONCATENATE("R2C",'1. Mapa de Riesgos'!$Q$35),"")</f>
        <v/>
      </c>
      <c r="T27" s="26" t="str">
        <f>IF(AND('1. Mapa de Riesgos'!$AA$36="Media",'1. Mapa de Riesgos'!$AC$36="Menor"),CONCATENATE("R2C",'1. Mapa de Riesgos'!$Q$36),"")</f>
        <v/>
      </c>
      <c r="U27" s="27" t="str">
        <f>IF(AND('1. Mapa de Riesgos'!$AA$37="Media",'1. Mapa de Riesgos'!$AC$37="Menor"),CONCATENATE("R2C",'1. Mapa de Riesgos'!$Q$37),"")</f>
        <v/>
      </c>
      <c r="V27" s="25" t="str">
        <f>IF(AND('1. Mapa de Riesgos'!$AA$32="Media",'1. Mapa de Riesgos'!$AC$32="Moderado"),CONCATENATE("R2C",'1. Mapa de Riesgos'!$Q$32),"")</f>
        <v/>
      </c>
      <c r="W27" s="26" t="str">
        <f>IF(AND('1. Mapa de Riesgos'!$AA$33="Media",'1. Mapa de Riesgos'!$AC$33="Moderado"),CONCATENATE("R2C",'1. Mapa de Riesgos'!$Q$33),"")</f>
        <v/>
      </c>
      <c r="X27" s="26" t="str">
        <f>IF(AND('1. Mapa de Riesgos'!$AA$34="Media",'1. Mapa de Riesgos'!$AC$34="Moderado"),CONCATENATE("R2C",'1. Mapa de Riesgos'!$Q$34),"")</f>
        <v/>
      </c>
      <c r="Y27" s="26" t="str">
        <f>IF(AND('1. Mapa de Riesgos'!$AA$35="Media",'1. Mapa de Riesgos'!$AC$35="Moderado"),CONCATENATE("R2C",'1. Mapa de Riesgos'!$Q$35),"")</f>
        <v/>
      </c>
      <c r="Z27" s="26" t="str">
        <f>IF(AND('1. Mapa de Riesgos'!$AA$36="Media",'1. Mapa de Riesgos'!$AC$36="Moderado"),CONCATENATE("R2C",'1. Mapa de Riesgos'!$Q$36),"")</f>
        <v/>
      </c>
      <c r="AA27" s="27" t="str">
        <f>IF(AND('1. Mapa de Riesgos'!$AA$37="Media",'1. Mapa de Riesgos'!$AC$37="Moderado"),CONCATENATE("R2C",'1. Mapa de Riesgos'!$Q$37),"")</f>
        <v/>
      </c>
      <c r="AB27" s="10" t="str">
        <f>IF(AND('1. Mapa de Riesgos'!$AA$32="Media",'1. Mapa de Riesgos'!$AC$32="Mayor"),CONCATENATE("R2C",'1. Mapa de Riesgos'!$Q$32),"")</f>
        <v/>
      </c>
      <c r="AC27" s="11" t="str">
        <f>IF(AND('1. Mapa de Riesgos'!$AA$33="Media",'1. Mapa de Riesgos'!$AC$33="Mayor"),CONCATENATE("R2C",'1. Mapa de Riesgos'!$Q$33),"")</f>
        <v/>
      </c>
      <c r="AD27" s="11" t="str">
        <f>IF(AND('1. Mapa de Riesgos'!$AA$34="Media",'1. Mapa de Riesgos'!$AC$34="Mayor"),CONCATENATE("R2C",'1. Mapa de Riesgos'!$Q$34),"")</f>
        <v/>
      </c>
      <c r="AE27" s="11" t="str">
        <f>IF(AND('1. Mapa de Riesgos'!$AA$35="Media",'1. Mapa de Riesgos'!$AC$35="Mayor"),CONCATENATE("R2C",'1. Mapa de Riesgos'!$Q$35),"")</f>
        <v/>
      </c>
      <c r="AF27" s="11" t="str">
        <f>IF(AND('1. Mapa de Riesgos'!$AA$36="Media",'1. Mapa de Riesgos'!$AC$36="Mayor"),CONCATENATE("R2C",'1. Mapa de Riesgos'!$Q$36),"")</f>
        <v/>
      </c>
      <c r="AG27" s="12" t="str">
        <f>IF(AND('1. Mapa de Riesgos'!$AA$37="Media",'1. Mapa de Riesgos'!$AC$37="Mayor"),CONCATENATE("R2C",'1. Mapa de Riesgos'!$Q$37),"")</f>
        <v/>
      </c>
      <c r="AH27" s="13" t="str">
        <f>IF(AND('1. Mapa de Riesgos'!$AA$32="Media",'1. Mapa de Riesgos'!$AC$32="Catastrófico"),CONCATENATE("R2C",'1. Mapa de Riesgos'!$Q$32),"")</f>
        <v/>
      </c>
      <c r="AI27" s="14" t="str">
        <f>IF(AND('1. Mapa de Riesgos'!$AA$33="Media",'1. Mapa de Riesgos'!$AC$33="Catastrófico"),CONCATENATE("R2C",'1. Mapa de Riesgos'!$Q$33),"")</f>
        <v/>
      </c>
      <c r="AJ27" s="14" t="str">
        <f>IF(AND('1. Mapa de Riesgos'!$AA$34="Media",'1. Mapa de Riesgos'!$AC$34="Catastrófico"),CONCATENATE("R2C",'1. Mapa de Riesgos'!$Q$34),"")</f>
        <v/>
      </c>
      <c r="AK27" s="14" t="str">
        <f>IF(AND('1. Mapa de Riesgos'!$AA$35="Media",'1. Mapa de Riesgos'!$AC$35="Catastrófico"),CONCATENATE("R2C",'1. Mapa de Riesgos'!$Q$35),"")</f>
        <v/>
      </c>
      <c r="AL27" s="14" t="str">
        <f>IF(AND('1. Mapa de Riesgos'!$AA$36="Media",'1. Mapa de Riesgos'!$AC$36="Catastrófico"),CONCATENATE("R2C",'1. Mapa de Riesgos'!$Q$36),"")</f>
        <v/>
      </c>
      <c r="AM27" s="15" t="str">
        <f>IF(AND('1. Mapa de Riesgos'!$AA$37="Media",'1. Mapa de Riesgos'!$AC$37="Catastrófico"),CONCATENATE("R2C",'1. Mapa de Riesgos'!$Q$37),"")</f>
        <v/>
      </c>
      <c r="AN27" s="41"/>
      <c r="AO27" s="555"/>
      <c r="AP27" s="556"/>
      <c r="AQ27" s="556"/>
      <c r="AR27" s="556"/>
      <c r="AS27" s="556"/>
      <c r="AT27" s="557"/>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row>
    <row r="28" spans="1:76" ht="15" customHeight="1" x14ac:dyDescent="0.25">
      <c r="A28" s="41"/>
      <c r="B28" s="474"/>
      <c r="C28" s="474"/>
      <c r="D28" s="475"/>
      <c r="E28" s="515"/>
      <c r="F28" s="516"/>
      <c r="G28" s="516"/>
      <c r="H28" s="516"/>
      <c r="I28" s="517"/>
      <c r="J28" s="25" t="str">
        <f>IF(AND('1. Mapa de Riesgos'!$AA$38="Media",'1. Mapa de Riesgos'!$AC$38="Leve"),CONCATENATE("R3C",'1. Mapa de Riesgos'!$Q$38),"")</f>
        <v/>
      </c>
      <c r="K28" s="26" t="str">
        <f>IF(AND('1. Mapa de Riesgos'!$AA$39="Media",'1. Mapa de Riesgos'!$AC$39="Leve"),CONCATENATE("R3C",'1. Mapa de Riesgos'!$Q$39),"")</f>
        <v/>
      </c>
      <c r="L28" s="26" t="str">
        <f>IF(AND('1. Mapa de Riesgos'!$AA$40="Media",'1. Mapa de Riesgos'!$AC$40="Leve"),CONCATENATE("R3C",'1. Mapa de Riesgos'!$Q$40),"")</f>
        <v/>
      </c>
      <c r="M28" s="26" t="str">
        <f>IF(AND('1. Mapa de Riesgos'!$AA$41="Media",'1. Mapa de Riesgos'!$AC$41="Leve"),CONCATENATE("R3C",'1. Mapa de Riesgos'!$Q$41),"")</f>
        <v/>
      </c>
      <c r="N28" s="26" t="str">
        <f>IF(AND('1. Mapa de Riesgos'!$AA$42="Media",'1. Mapa de Riesgos'!$AC$42="Leve"),CONCATENATE("R3C",'1. Mapa de Riesgos'!$Q$42),"")</f>
        <v/>
      </c>
      <c r="O28" s="27" t="str">
        <f>IF(AND('1. Mapa de Riesgos'!$AA$43="Media",'1. Mapa de Riesgos'!$AC$43="Leve"),CONCATENATE("R3C",'1. Mapa de Riesgos'!$Q$43),"")</f>
        <v/>
      </c>
      <c r="P28" s="25" t="str">
        <f>IF(AND('1. Mapa de Riesgos'!$AA$38="Media",'1. Mapa de Riesgos'!$AC$38="Menor"),CONCATENATE("R3C",'1. Mapa de Riesgos'!$Q$38),"")</f>
        <v/>
      </c>
      <c r="Q28" s="26" t="str">
        <f>IF(AND('1. Mapa de Riesgos'!$AA$39="Media",'1. Mapa de Riesgos'!$AC$39="Menor"),CONCATENATE("R3C",'1. Mapa de Riesgos'!$Q$39),"")</f>
        <v/>
      </c>
      <c r="R28" s="26" t="str">
        <f>IF(AND('1. Mapa de Riesgos'!$AA$40="Media",'1. Mapa de Riesgos'!$AC$40="Menor"),CONCATENATE("R3C",'1. Mapa de Riesgos'!$Q$40),"")</f>
        <v/>
      </c>
      <c r="S28" s="26" t="str">
        <f>IF(AND('1. Mapa de Riesgos'!$AA$41="Media",'1. Mapa de Riesgos'!$AC$41="Menor"),CONCATENATE("R3C",'1. Mapa de Riesgos'!$Q$41),"")</f>
        <v/>
      </c>
      <c r="T28" s="26" t="str">
        <f>IF(AND('1. Mapa de Riesgos'!$AA$42="Media",'1. Mapa de Riesgos'!$AC$42="Menor"),CONCATENATE("R3C",'1. Mapa de Riesgos'!$Q$42),"")</f>
        <v/>
      </c>
      <c r="U28" s="27" t="str">
        <f>IF(AND('1. Mapa de Riesgos'!$AA$43="Media",'1. Mapa de Riesgos'!$AC$43="Menor"),CONCATENATE("R3C",'1. Mapa de Riesgos'!$Q$43),"")</f>
        <v/>
      </c>
      <c r="V28" s="25" t="str">
        <f>IF(AND('1. Mapa de Riesgos'!$AA$38="Media",'1. Mapa de Riesgos'!$AC$38="Moderado"),CONCATENATE("R3C",'1. Mapa de Riesgos'!$Q$38),"")</f>
        <v/>
      </c>
      <c r="W28" s="26" t="str">
        <f>IF(AND('1. Mapa de Riesgos'!$AA$39="Media",'1. Mapa de Riesgos'!$AC$39="Moderado"),CONCATENATE("R3C",'1. Mapa de Riesgos'!$Q$39),"")</f>
        <v/>
      </c>
      <c r="X28" s="26" t="str">
        <f>IF(AND('1. Mapa de Riesgos'!$AA$40="Media",'1. Mapa de Riesgos'!$AC$40="Moderado"),CONCATENATE("R3C",'1. Mapa de Riesgos'!$Q$40),"")</f>
        <v/>
      </c>
      <c r="Y28" s="26" t="str">
        <f>IF(AND('1. Mapa de Riesgos'!$AA$41="Media",'1. Mapa de Riesgos'!$AC$41="Moderado"),CONCATENATE("R3C",'1. Mapa de Riesgos'!$Q$41),"")</f>
        <v/>
      </c>
      <c r="Z28" s="26" t="str">
        <f>IF(AND('1. Mapa de Riesgos'!$AA$42="Media",'1. Mapa de Riesgos'!$AC$42="Moderado"),CONCATENATE("R3C",'1. Mapa de Riesgos'!$Q$42),"")</f>
        <v/>
      </c>
      <c r="AA28" s="27" t="str">
        <f>IF(AND('1. Mapa de Riesgos'!$AA$43="Media",'1. Mapa de Riesgos'!$AC$43="Moderado"),CONCATENATE("R3C",'1. Mapa de Riesgos'!$Q$43),"")</f>
        <v/>
      </c>
      <c r="AB28" s="10" t="str">
        <f>IF(AND('1. Mapa de Riesgos'!$AA$38="Media",'1. Mapa de Riesgos'!$AC$38="Mayor"),CONCATENATE("R3C",'1. Mapa de Riesgos'!$Q$38),"")</f>
        <v/>
      </c>
      <c r="AC28" s="11" t="str">
        <f>IF(AND('1. Mapa de Riesgos'!$AA$39="Media",'1. Mapa de Riesgos'!$AC$39="Mayor"),CONCATENATE("R3C",'1. Mapa de Riesgos'!$Q$39),"")</f>
        <v/>
      </c>
      <c r="AD28" s="11" t="str">
        <f>IF(AND('1. Mapa de Riesgos'!$AA$40="Media",'1. Mapa de Riesgos'!$AC$40="Mayor"),CONCATENATE("R3C",'1. Mapa de Riesgos'!$Q$40),"")</f>
        <v/>
      </c>
      <c r="AE28" s="11" t="str">
        <f>IF(AND('1. Mapa de Riesgos'!$AA$41="Media",'1. Mapa de Riesgos'!$AC$41="Mayor"),CONCATENATE("R3C",'1. Mapa de Riesgos'!$Q$41),"")</f>
        <v/>
      </c>
      <c r="AF28" s="11" t="str">
        <f>IF(AND('1. Mapa de Riesgos'!$AA$42="Media",'1. Mapa de Riesgos'!$AC$42="Mayor"),CONCATENATE("R3C",'1. Mapa de Riesgos'!$Q$42),"")</f>
        <v/>
      </c>
      <c r="AG28" s="12" t="str">
        <f>IF(AND('1. Mapa de Riesgos'!$AA$43="Media",'1. Mapa de Riesgos'!$AC$43="Mayor"),CONCATENATE("R3C",'1. Mapa de Riesgos'!$Q$43),"")</f>
        <v/>
      </c>
      <c r="AH28" s="13" t="str">
        <f>IF(AND('1. Mapa de Riesgos'!$AA$38="Media",'1. Mapa de Riesgos'!$AC$38="Catastrófico"),CONCATENATE("R3C",'1. Mapa de Riesgos'!$Q$38),"")</f>
        <v/>
      </c>
      <c r="AI28" s="14" t="str">
        <f>IF(AND('1. Mapa de Riesgos'!$AA$39="Media",'1. Mapa de Riesgos'!$AC$39="Catastrófico"),CONCATENATE("R3C",'1. Mapa de Riesgos'!$Q$39),"")</f>
        <v/>
      </c>
      <c r="AJ28" s="14" t="str">
        <f>IF(AND('1. Mapa de Riesgos'!$AA$40="Media",'1. Mapa de Riesgos'!$AC$40="Catastrófico"),CONCATENATE("R3C",'1. Mapa de Riesgos'!$Q$40),"")</f>
        <v/>
      </c>
      <c r="AK28" s="14" t="str">
        <f>IF(AND('1. Mapa de Riesgos'!$AA$41="Media",'1. Mapa de Riesgos'!$AC$41="Catastrófico"),CONCATENATE("R3C",'1. Mapa de Riesgos'!$Q$41),"")</f>
        <v/>
      </c>
      <c r="AL28" s="14" t="str">
        <f>IF(AND('1. Mapa de Riesgos'!$AA$42="Media",'1. Mapa de Riesgos'!$AC$42="Catastrófico"),CONCATENATE("R3C",'1. Mapa de Riesgos'!$Q$42),"")</f>
        <v/>
      </c>
      <c r="AM28" s="15" t="str">
        <f>IF(AND('1. Mapa de Riesgos'!$AA$43="Media",'1. Mapa de Riesgos'!$AC$43="Catastrófico"),CONCATENATE("R3C",'1. Mapa de Riesgos'!$Q$43),"")</f>
        <v/>
      </c>
      <c r="AN28" s="41"/>
      <c r="AO28" s="555"/>
      <c r="AP28" s="556"/>
      <c r="AQ28" s="556"/>
      <c r="AR28" s="556"/>
      <c r="AS28" s="556"/>
      <c r="AT28" s="557"/>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row>
    <row r="29" spans="1:76" ht="15" customHeight="1" x14ac:dyDescent="0.25">
      <c r="A29" s="41"/>
      <c r="B29" s="474"/>
      <c r="C29" s="474"/>
      <c r="D29" s="475"/>
      <c r="E29" s="515"/>
      <c r="F29" s="516"/>
      <c r="G29" s="516"/>
      <c r="H29" s="516"/>
      <c r="I29" s="517"/>
      <c r="J29" s="25" t="str">
        <f>IF(AND('1. Mapa de Riesgos'!$AA$50="Media",'1. Mapa de Riesgos'!$AC$50="Leve"),CONCATENATE("R4C",'1. Mapa de Riesgos'!$Q$50),"")</f>
        <v/>
      </c>
      <c r="K29" s="26" t="str">
        <f>IF(AND('1. Mapa de Riesgos'!$AA$51="Media",'1. Mapa de Riesgos'!$AC$51="Leve"),CONCATENATE("R4C",'1. Mapa de Riesgos'!$Q$51),"")</f>
        <v/>
      </c>
      <c r="L29" s="26" t="str">
        <f>IF(AND('1. Mapa de Riesgos'!$AA$52="Media",'1. Mapa de Riesgos'!$AC$52="Leve"),CONCATENATE("R4C",'1. Mapa de Riesgos'!$Q$52),"")</f>
        <v/>
      </c>
      <c r="M29" s="26" t="str">
        <f>IF(AND('1. Mapa de Riesgos'!$AA$53="Media",'1. Mapa de Riesgos'!$AC$53="Leve"),CONCATENATE("R4C",'1. Mapa de Riesgos'!$Q$53),"")</f>
        <v/>
      </c>
      <c r="N29" s="26" t="str">
        <f>IF(AND('1. Mapa de Riesgos'!$AA$54="Media",'1. Mapa de Riesgos'!$AC$54="Leve"),CONCATENATE("R4C",'1. Mapa de Riesgos'!$Q$54),"")</f>
        <v/>
      </c>
      <c r="O29" s="27" t="str">
        <f>IF(AND('1. Mapa de Riesgos'!$AA$55="Media",'1. Mapa de Riesgos'!$AC$55="Leve"),CONCATENATE("R4C",'1. Mapa de Riesgos'!$Q$55),"")</f>
        <v/>
      </c>
      <c r="P29" s="25" t="str">
        <f>IF(AND('1. Mapa de Riesgos'!$AA$50="Media",'1. Mapa de Riesgos'!$AC$50="Menor"),CONCATENATE("R4C",'1. Mapa de Riesgos'!$Q$50),"")</f>
        <v/>
      </c>
      <c r="Q29" s="26" t="str">
        <f>IF(AND('1. Mapa de Riesgos'!$AA$51="Media",'1. Mapa de Riesgos'!$AC$51="Menor"),CONCATENATE("R4C",'1. Mapa de Riesgos'!$Q$51),"")</f>
        <v/>
      </c>
      <c r="R29" s="26" t="str">
        <f>IF(AND('1. Mapa de Riesgos'!$AA$52="Media",'1. Mapa de Riesgos'!$AC$52="Menor"),CONCATENATE("R4C",'1. Mapa de Riesgos'!$Q$52),"")</f>
        <v/>
      </c>
      <c r="S29" s="26" t="str">
        <f>IF(AND('1. Mapa de Riesgos'!$AA$53="Media",'1. Mapa de Riesgos'!$AC$53="Menor"),CONCATENATE("R4C",'1. Mapa de Riesgos'!$Q$53),"")</f>
        <v/>
      </c>
      <c r="T29" s="26" t="str">
        <f>IF(AND('1. Mapa de Riesgos'!$AA$54="Media",'1. Mapa de Riesgos'!$AC$54="Menor"),CONCATENATE("R4C",'1. Mapa de Riesgos'!$Q$54),"")</f>
        <v/>
      </c>
      <c r="U29" s="27" t="str">
        <f>IF(AND('1. Mapa de Riesgos'!$AA$55="Media",'1. Mapa de Riesgos'!$AC$55="Menor"),CONCATENATE("R4C",'1. Mapa de Riesgos'!$Q$55),"")</f>
        <v/>
      </c>
      <c r="V29" s="25" t="str">
        <f>IF(AND('1. Mapa de Riesgos'!$AA$50="Media",'1. Mapa de Riesgos'!$AC$50="Moderado"),CONCATENATE("R4C",'1. Mapa de Riesgos'!$Q$50),"")</f>
        <v/>
      </c>
      <c r="W29" s="26" t="str">
        <f>IF(AND('1. Mapa de Riesgos'!$AA$51="Media",'1. Mapa de Riesgos'!$AC$51="Moderado"),CONCATENATE("R4C",'1. Mapa de Riesgos'!$Q$51),"")</f>
        <v/>
      </c>
      <c r="X29" s="26" t="str">
        <f>IF(AND('1. Mapa de Riesgos'!$AA$52="Media",'1. Mapa de Riesgos'!$AC$52="Moderado"),CONCATENATE("R4C",'1. Mapa de Riesgos'!$Q$52),"")</f>
        <v/>
      </c>
      <c r="Y29" s="26" t="str">
        <f>IF(AND('1. Mapa de Riesgos'!$AA$53="Media",'1. Mapa de Riesgos'!$AC$53="Moderado"),CONCATENATE("R4C",'1. Mapa de Riesgos'!$Q$53),"")</f>
        <v/>
      </c>
      <c r="Z29" s="26" t="str">
        <f>IF(AND('1. Mapa de Riesgos'!$AA$54="Media",'1. Mapa de Riesgos'!$AC$54="Moderado"),CONCATENATE("R4C",'1. Mapa de Riesgos'!$Q$54),"")</f>
        <v/>
      </c>
      <c r="AA29" s="27" t="str">
        <f>IF(AND('1. Mapa de Riesgos'!$AA$55="Media",'1. Mapa de Riesgos'!$AC$55="Moderado"),CONCATENATE("R4C",'1. Mapa de Riesgos'!$Q$55),"")</f>
        <v/>
      </c>
      <c r="AB29" s="10" t="str">
        <f>IF(AND('1. Mapa de Riesgos'!$AA$50="Media",'1. Mapa de Riesgos'!$AC$50="Mayor"),CONCATENATE("R4C",'1. Mapa de Riesgos'!$Q$50),"")</f>
        <v/>
      </c>
      <c r="AC29" s="11" t="str">
        <f>IF(AND('1. Mapa de Riesgos'!$AA$51="Media",'1. Mapa de Riesgos'!$AC$51="Mayor"),CONCATENATE("R4C",'1. Mapa de Riesgos'!$Q$51),"")</f>
        <v/>
      </c>
      <c r="AD29" s="11" t="str">
        <f>IF(AND('1. Mapa de Riesgos'!$AA$52="Media",'1. Mapa de Riesgos'!$AC$52="Mayor"),CONCATENATE("R4C",'1. Mapa de Riesgos'!$Q$52),"")</f>
        <v/>
      </c>
      <c r="AE29" s="11" t="str">
        <f>IF(AND('1. Mapa de Riesgos'!$AA$53="Media",'1. Mapa de Riesgos'!$AC$53="Mayor"),CONCATENATE("R4C",'1. Mapa de Riesgos'!$Q$53),"")</f>
        <v/>
      </c>
      <c r="AF29" s="11" t="str">
        <f>IF(AND('1. Mapa de Riesgos'!$AA$54="Media",'1. Mapa de Riesgos'!$AC$54="Mayor"),CONCATENATE("R4C",'1. Mapa de Riesgos'!$Q$54),"")</f>
        <v/>
      </c>
      <c r="AG29" s="12" t="str">
        <f>IF(AND('1. Mapa de Riesgos'!$AA$55="Media",'1. Mapa de Riesgos'!$AC$55="Mayor"),CONCATENATE("R4C",'1. Mapa de Riesgos'!$Q$55),"")</f>
        <v/>
      </c>
      <c r="AH29" s="13" t="str">
        <f>IF(AND('1. Mapa de Riesgos'!$AA$50="Media",'1. Mapa de Riesgos'!$AC$50="Catastrófico"),CONCATENATE("R4C",'1. Mapa de Riesgos'!$Q$50),"")</f>
        <v/>
      </c>
      <c r="AI29" s="14" t="str">
        <f>IF(AND('1. Mapa de Riesgos'!$AA$51="Media",'1. Mapa de Riesgos'!$AC$51="Catastrófico"),CONCATENATE("R4C",'1. Mapa de Riesgos'!$Q$51),"")</f>
        <v/>
      </c>
      <c r="AJ29" s="14" t="str">
        <f>IF(AND('1. Mapa de Riesgos'!$AA$52="Media",'1. Mapa de Riesgos'!$AC$52="Catastrófico"),CONCATENATE("R4C",'1. Mapa de Riesgos'!$Q$52),"")</f>
        <v/>
      </c>
      <c r="AK29" s="14" t="str">
        <f>IF(AND('1. Mapa de Riesgos'!$AA$53="Media",'1. Mapa de Riesgos'!$AC$53="Catastrófico"),CONCATENATE("R4C",'1. Mapa de Riesgos'!$Q$53),"")</f>
        <v/>
      </c>
      <c r="AL29" s="14" t="str">
        <f>IF(AND('1. Mapa de Riesgos'!$AA$54="Media",'1. Mapa de Riesgos'!$AC$54="Catastrófico"),CONCATENATE("R4C",'1. Mapa de Riesgos'!$Q$54),"")</f>
        <v/>
      </c>
      <c r="AM29" s="15" t="str">
        <f>IF(AND('1. Mapa de Riesgos'!$AA$55="Media",'1. Mapa de Riesgos'!$AC$55="Catastrófico"),CONCATENATE("R4C",'1. Mapa de Riesgos'!$Q$55),"")</f>
        <v/>
      </c>
      <c r="AN29" s="41"/>
      <c r="AO29" s="555"/>
      <c r="AP29" s="556"/>
      <c r="AQ29" s="556"/>
      <c r="AR29" s="556"/>
      <c r="AS29" s="556"/>
      <c r="AT29" s="557"/>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row>
    <row r="30" spans="1:76" ht="15" customHeight="1" x14ac:dyDescent="0.25">
      <c r="A30" s="41"/>
      <c r="B30" s="474"/>
      <c r="C30" s="474"/>
      <c r="D30" s="475"/>
      <c r="E30" s="515"/>
      <c r="F30" s="516"/>
      <c r="G30" s="516"/>
      <c r="H30" s="516"/>
      <c r="I30" s="517"/>
      <c r="J30" s="25" t="e">
        <f>IF(AND('1. Mapa de Riesgos'!#REF!="Media",'1. Mapa de Riesgos'!#REF!="Leve"),CONCATENATE("R5C",'1. Mapa de Riesgos'!#REF!),"")</f>
        <v>#REF!</v>
      </c>
      <c r="K30" s="26" t="e">
        <f>IF(AND('1. Mapa de Riesgos'!#REF!="Media",'1. Mapa de Riesgos'!#REF!="Leve"),CONCATENATE("R5C",'1. Mapa de Riesgos'!#REF!),"")</f>
        <v>#REF!</v>
      </c>
      <c r="L30" s="26" t="e">
        <f>IF(AND('1. Mapa de Riesgos'!#REF!="Media",'1. Mapa de Riesgos'!#REF!="Leve"),CONCATENATE("R5C",'1. Mapa de Riesgos'!#REF!),"")</f>
        <v>#REF!</v>
      </c>
      <c r="M30" s="26" t="e">
        <f>IF(AND('1. Mapa de Riesgos'!#REF!="Media",'1. Mapa de Riesgos'!#REF!="Leve"),CONCATENATE("R5C",'1. Mapa de Riesgos'!#REF!),"")</f>
        <v>#REF!</v>
      </c>
      <c r="N30" s="26" t="e">
        <f>IF(AND('1. Mapa de Riesgos'!#REF!="Media",'1. Mapa de Riesgos'!#REF!="Leve"),CONCATENATE("R5C",'1. Mapa de Riesgos'!#REF!),"")</f>
        <v>#REF!</v>
      </c>
      <c r="O30" s="27" t="e">
        <f>IF(AND('1. Mapa de Riesgos'!#REF!="Media",'1. Mapa de Riesgos'!#REF!="Leve"),CONCATENATE("R5C",'1. Mapa de Riesgos'!#REF!),"")</f>
        <v>#REF!</v>
      </c>
      <c r="P30" s="25" t="e">
        <f>IF(AND('1. Mapa de Riesgos'!#REF!="Media",'1. Mapa de Riesgos'!#REF!="Menor"),CONCATENATE("R5C",'1. Mapa de Riesgos'!#REF!),"")</f>
        <v>#REF!</v>
      </c>
      <c r="Q30" s="26" t="e">
        <f>IF(AND('1. Mapa de Riesgos'!#REF!="Media",'1. Mapa de Riesgos'!#REF!="Menor"),CONCATENATE("R5C",'1. Mapa de Riesgos'!#REF!),"")</f>
        <v>#REF!</v>
      </c>
      <c r="R30" s="26" t="e">
        <f>IF(AND('1. Mapa de Riesgos'!#REF!="Media",'1. Mapa de Riesgos'!#REF!="Menor"),CONCATENATE("R5C",'1. Mapa de Riesgos'!#REF!),"")</f>
        <v>#REF!</v>
      </c>
      <c r="S30" s="26" t="e">
        <f>IF(AND('1. Mapa de Riesgos'!#REF!="Media",'1. Mapa de Riesgos'!#REF!="Menor"),CONCATENATE("R5C",'1. Mapa de Riesgos'!#REF!),"")</f>
        <v>#REF!</v>
      </c>
      <c r="T30" s="26" t="e">
        <f>IF(AND('1. Mapa de Riesgos'!#REF!="Media",'1. Mapa de Riesgos'!#REF!="Menor"),CONCATENATE("R5C",'1. Mapa de Riesgos'!#REF!),"")</f>
        <v>#REF!</v>
      </c>
      <c r="U30" s="27" t="e">
        <f>IF(AND('1. Mapa de Riesgos'!#REF!="Media",'1. Mapa de Riesgos'!#REF!="Menor"),CONCATENATE("R5C",'1. Mapa de Riesgos'!#REF!),"")</f>
        <v>#REF!</v>
      </c>
      <c r="V30" s="25" t="e">
        <f>IF(AND('1. Mapa de Riesgos'!#REF!="Media",'1. Mapa de Riesgos'!#REF!="Moderado"),CONCATENATE("R5C",'1. Mapa de Riesgos'!#REF!),"")</f>
        <v>#REF!</v>
      </c>
      <c r="W30" s="26" t="e">
        <f>IF(AND('1. Mapa de Riesgos'!#REF!="Media",'1. Mapa de Riesgos'!#REF!="Moderado"),CONCATENATE("R5C",'1. Mapa de Riesgos'!#REF!),"")</f>
        <v>#REF!</v>
      </c>
      <c r="X30" s="26" t="e">
        <f>IF(AND('1. Mapa de Riesgos'!#REF!="Media",'1. Mapa de Riesgos'!#REF!="Moderado"),CONCATENATE("R5C",'1. Mapa de Riesgos'!#REF!),"")</f>
        <v>#REF!</v>
      </c>
      <c r="Y30" s="26" t="e">
        <f>IF(AND('1. Mapa de Riesgos'!#REF!="Media",'1. Mapa de Riesgos'!#REF!="Moderado"),CONCATENATE("R5C",'1. Mapa de Riesgos'!#REF!),"")</f>
        <v>#REF!</v>
      </c>
      <c r="Z30" s="26" t="e">
        <f>IF(AND('1. Mapa de Riesgos'!#REF!="Media",'1. Mapa de Riesgos'!#REF!="Moderado"),CONCATENATE("R5C",'1. Mapa de Riesgos'!#REF!),"")</f>
        <v>#REF!</v>
      </c>
      <c r="AA30" s="27" t="e">
        <f>IF(AND('1. Mapa de Riesgos'!#REF!="Media",'1. Mapa de Riesgos'!#REF!="Moderado"),CONCATENATE("R5C",'1. Mapa de Riesgos'!#REF!),"")</f>
        <v>#REF!</v>
      </c>
      <c r="AB30" s="10" t="e">
        <f>IF(AND('1. Mapa de Riesgos'!#REF!="Media",'1. Mapa de Riesgos'!#REF!="Mayor"),CONCATENATE("R5C",'1. Mapa de Riesgos'!#REF!),"")</f>
        <v>#REF!</v>
      </c>
      <c r="AC30" s="11" t="e">
        <f>IF(AND('1. Mapa de Riesgos'!#REF!="Media",'1. Mapa de Riesgos'!#REF!="Mayor"),CONCATENATE("R5C",'1. Mapa de Riesgos'!#REF!),"")</f>
        <v>#REF!</v>
      </c>
      <c r="AD30" s="11" t="e">
        <f>IF(AND('1. Mapa de Riesgos'!#REF!="Media",'1. Mapa de Riesgos'!#REF!="Mayor"),CONCATENATE("R5C",'1. Mapa de Riesgos'!#REF!),"")</f>
        <v>#REF!</v>
      </c>
      <c r="AE30" s="11" t="e">
        <f>IF(AND('1. Mapa de Riesgos'!#REF!="Media",'1. Mapa de Riesgos'!#REF!="Mayor"),CONCATENATE("R5C",'1. Mapa de Riesgos'!#REF!),"")</f>
        <v>#REF!</v>
      </c>
      <c r="AF30" s="11" t="e">
        <f>IF(AND('1. Mapa de Riesgos'!#REF!="Media",'1. Mapa de Riesgos'!#REF!="Mayor"),CONCATENATE("R5C",'1. Mapa de Riesgos'!#REF!),"")</f>
        <v>#REF!</v>
      </c>
      <c r="AG30" s="12" t="e">
        <f>IF(AND('1. Mapa de Riesgos'!#REF!="Media",'1. Mapa de Riesgos'!#REF!="Mayor"),CONCATENATE("R5C",'1. Mapa de Riesgos'!#REF!),"")</f>
        <v>#REF!</v>
      </c>
      <c r="AH30" s="13" t="e">
        <f>IF(AND('1. Mapa de Riesgos'!#REF!="Media",'1. Mapa de Riesgos'!#REF!="Catastrófico"),CONCATENATE("R5C",'1. Mapa de Riesgos'!#REF!),"")</f>
        <v>#REF!</v>
      </c>
      <c r="AI30" s="14" t="e">
        <f>IF(AND('1. Mapa de Riesgos'!#REF!="Media",'1. Mapa de Riesgos'!#REF!="Catastrófico"),CONCATENATE("R5C",'1. Mapa de Riesgos'!#REF!),"")</f>
        <v>#REF!</v>
      </c>
      <c r="AJ30" s="14" t="e">
        <f>IF(AND('1. Mapa de Riesgos'!#REF!="Media",'1. Mapa de Riesgos'!#REF!="Catastrófico"),CONCATENATE("R5C",'1. Mapa de Riesgos'!#REF!),"")</f>
        <v>#REF!</v>
      </c>
      <c r="AK30" s="14" t="e">
        <f>IF(AND('1. Mapa de Riesgos'!#REF!="Media",'1. Mapa de Riesgos'!#REF!="Catastrófico"),CONCATENATE("R5C",'1. Mapa de Riesgos'!#REF!),"")</f>
        <v>#REF!</v>
      </c>
      <c r="AL30" s="14" t="e">
        <f>IF(AND('1. Mapa de Riesgos'!#REF!="Media",'1. Mapa de Riesgos'!#REF!="Catastrófico"),CONCATENATE("R5C",'1. Mapa de Riesgos'!#REF!),"")</f>
        <v>#REF!</v>
      </c>
      <c r="AM30" s="15" t="e">
        <f>IF(AND('1. Mapa de Riesgos'!#REF!="Media",'1. Mapa de Riesgos'!#REF!="Catastrófico"),CONCATENATE("R5C",'1. Mapa de Riesgos'!#REF!),"")</f>
        <v>#REF!</v>
      </c>
      <c r="AN30" s="41"/>
      <c r="AO30" s="555"/>
      <c r="AP30" s="556"/>
      <c r="AQ30" s="556"/>
      <c r="AR30" s="556"/>
      <c r="AS30" s="556"/>
      <c r="AT30" s="557"/>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row>
    <row r="31" spans="1:76" ht="15" customHeight="1" x14ac:dyDescent="0.25">
      <c r="A31" s="41"/>
      <c r="B31" s="474"/>
      <c r="C31" s="474"/>
      <c r="D31" s="475"/>
      <c r="E31" s="515"/>
      <c r="F31" s="516"/>
      <c r="G31" s="516"/>
      <c r="H31" s="516"/>
      <c r="I31" s="517"/>
      <c r="J31" s="25" t="str">
        <f>IF(AND('1. Mapa de Riesgos'!$AA$56="Media",'1. Mapa de Riesgos'!$AC$56="Leve"),CONCATENATE("R6C",'1. Mapa de Riesgos'!$Q$56),"")</f>
        <v/>
      </c>
      <c r="K31" s="26" t="str">
        <f>IF(AND('1. Mapa de Riesgos'!$AA$57="Media",'1. Mapa de Riesgos'!$AC$57="Leve"),CONCATENATE("R6C",'1. Mapa de Riesgos'!$Q$57),"")</f>
        <v/>
      </c>
      <c r="L31" s="26" t="str">
        <f>IF(AND('1. Mapa de Riesgos'!$AA$58="Media",'1. Mapa de Riesgos'!$AC$58="Leve"),CONCATENATE("R6C",'1. Mapa de Riesgos'!$Q$58),"")</f>
        <v/>
      </c>
      <c r="M31" s="26" t="str">
        <f>IF(AND('1. Mapa de Riesgos'!$AA$59="Media",'1. Mapa de Riesgos'!$AC$59="Leve"),CONCATENATE("R6C",'1. Mapa de Riesgos'!$Q$59),"")</f>
        <v/>
      </c>
      <c r="N31" s="26" t="str">
        <f>IF(AND('1. Mapa de Riesgos'!$AA$60="Media",'1. Mapa de Riesgos'!$AC$60="Leve"),CONCATENATE("R6C",'1. Mapa de Riesgos'!$Q$60),"")</f>
        <v/>
      </c>
      <c r="O31" s="27" t="str">
        <f>IF(AND('1. Mapa de Riesgos'!$AA$61="Media",'1. Mapa de Riesgos'!$AC$61="Leve"),CONCATENATE("R6C",'1. Mapa de Riesgos'!$Q$61),"")</f>
        <v/>
      </c>
      <c r="P31" s="25" t="str">
        <f>IF(AND('1. Mapa de Riesgos'!$AA$56="Media",'1. Mapa de Riesgos'!$AC$56="Menor"),CONCATENATE("R6C",'1. Mapa de Riesgos'!$Q$56),"")</f>
        <v/>
      </c>
      <c r="Q31" s="26" t="str">
        <f>IF(AND('1. Mapa de Riesgos'!$AA$57="Media",'1. Mapa de Riesgos'!$AC$57="Menor"),CONCATENATE("R6C",'1. Mapa de Riesgos'!$Q$57),"")</f>
        <v/>
      </c>
      <c r="R31" s="26" t="str">
        <f>IF(AND('1. Mapa de Riesgos'!$AA$58="Media",'1. Mapa de Riesgos'!$AC$58="Menor"),CONCATENATE("R6C",'1. Mapa de Riesgos'!$Q$58),"")</f>
        <v/>
      </c>
      <c r="S31" s="26" t="str">
        <f>IF(AND('1. Mapa de Riesgos'!$AA$59="Media",'1. Mapa de Riesgos'!$AC$59="Menor"),CONCATENATE("R6C",'1. Mapa de Riesgos'!$Q$59),"")</f>
        <v/>
      </c>
      <c r="T31" s="26" t="str">
        <f>IF(AND('1. Mapa de Riesgos'!$AA$60="Media",'1. Mapa de Riesgos'!$AC$60="Menor"),CONCATENATE("R6C",'1. Mapa de Riesgos'!$Q$60),"")</f>
        <v/>
      </c>
      <c r="U31" s="27" t="str">
        <f>IF(AND('1. Mapa de Riesgos'!$AA$61="Media",'1. Mapa de Riesgos'!$AC$61="Menor"),CONCATENATE("R6C",'1. Mapa de Riesgos'!$Q$61),"")</f>
        <v/>
      </c>
      <c r="V31" s="25" t="str">
        <f>IF(AND('1. Mapa de Riesgos'!$AA$56="Media",'1. Mapa de Riesgos'!$AC$56="Moderado"),CONCATENATE("R6C",'1. Mapa de Riesgos'!$Q$56),"")</f>
        <v/>
      </c>
      <c r="W31" s="26" t="str">
        <f>IF(AND('1. Mapa de Riesgos'!$AA$57="Media",'1. Mapa de Riesgos'!$AC$57="Moderado"),CONCATENATE("R6C",'1. Mapa de Riesgos'!$Q$57),"")</f>
        <v/>
      </c>
      <c r="X31" s="26" t="str">
        <f>IF(AND('1. Mapa de Riesgos'!$AA$58="Media",'1. Mapa de Riesgos'!$AC$58="Moderado"),CONCATENATE("R6C",'1. Mapa de Riesgos'!$Q$58),"")</f>
        <v/>
      </c>
      <c r="Y31" s="26" t="str">
        <f>IF(AND('1. Mapa de Riesgos'!$AA$59="Media",'1. Mapa de Riesgos'!$AC$59="Moderado"),CONCATENATE("R6C",'1. Mapa de Riesgos'!$Q$59),"")</f>
        <v/>
      </c>
      <c r="Z31" s="26" t="str">
        <f>IF(AND('1. Mapa de Riesgos'!$AA$60="Media",'1. Mapa de Riesgos'!$AC$60="Moderado"),CONCATENATE("R6C",'1. Mapa de Riesgos'!$Q$60),"")</f>
        <v/>
      </c>
      <c r="AA31" s="27" t="str">
        <f>IF(AND('1. Mapa de Riesgos'!$AA$61="Media",'1. Mapa de Riesgos'!$AC$61="Moderado"),CONCATENATE("R6C",'1. Mapa de Riesgos'!$Q$61),"")</f>
        <v/>
      </c>
      <c r="AB31" s="10" t="str">
        <f>IF(AND('1. Mapa de Riesgos'!$AA$56="Media",'1. Mapa de Riesgos'!$AC$56="Mayor"),CONCATENATE("R6C",'1. Mapa de Riesgos'!$Q$56),"")</f>
        <v/>
      </c>
      <c r="AC31" s="11" t="str">
        <f>IF(AND('1. Mapa de Riesgos'!$AA$57="Media",'1. Mapa de Riesgos'!$AC$57="Mayor"),CONCATENATE("R6C",'1. Mapa de Riesgos'!$Q$57),"")</f>
        <v/>
      </c>
      <c r="AD31" s="11" t="str">
        <f>IF(AND('1. Mapa de Riesgos'!$AA$58="Media",'1. Mapa de Riesgos'!$AC$58="Mayor"),CONCATENATE("R6C",'1. Mapa de Riesgos'!$Q$58),"")</f>
        <v/>
      </c>
      <c r="AE31" s="11" t="str">
        <f>IF(AND('1. Mapa de Riesgos'!$AA$59="Media",'1. Mapa de Riesgos'!$AC$59="Mayor"),CONCATENATE("R6C",'1. Mapa de Riesgos'!$Q$59),"")</f>
        <v/>
      </c>
      <c r="AF31" s="11" t="str">
        <f>IF(AND('1. Mapa de Riesgos'!$AA$60="Media",'1. Mapa de Riesgos'!$AC$60="Mayor"),CONCATENATE("R6C",'1. Mapa de Riesgos'!$Q$60),"")</f>
        <v/>
      </c>
      <c r="AG31" s="12" t="str">
        <f>IF(AND('1. Mapa de Riesgos'!$AA$61="Media",'1. Mapa de Riesgos'!$AC$61="Mayor"),CONCATENATE("R6C",'1. Mapa de Riesgos'!$Q$61),"")</f>
        <v/>
      </c>
      <c r="AH31" s="13" t="str">
        <f>IF(AND('1. Mapa de Riesgos'!$AA$56="Media",'1. Mapa de Riesgos'!$AC$56="Catastrófico"),CONCATENATE("R6C",'1. Mapa de Riesgos'!$Q$56),"")</f>
        <v/>
      </c>
      <c r="AI31" s="14" t="str">
        <f>IF(AND('1. Mapa de Riesgos'!$AA$57="Media",'1. Mapa de Riesgos'!$AC$57="Catastrófico"),CONCATENATE("R6C",'1. Mapa de Riesgos'!$Q$57),"")</f>
        <v/>
      </c>
      <c r="AJ31" s="14" t="str">
        <f>IF(AND('1. Mapa de Riesgos'!$AA$58="Media",'1. Mapa de Riesgos'!$AC$58="Catastrófico"),CONCATENATE("R6C",'1. Mapa de Riesgos'!$Q$58),"")</f>
        <v/>
      </c>
      <c r="AK31" s="14" t="str">
        <f>IF(AND('1. Mapa de Riesgos'!$AA$59="Media",'1. Mapa de Riesgos'!$AC$59="Catastrófico"),CONCATENATE("R6C",'1. Mapa de Riesgos'!$Q$59),"")</f>
        <v/>
      </c>
      <c r="AL31" s="14" t="str">
        <f>IF(AND('1. Mapa de Riesgos'!$AA$60="Media",'1. Mapa de Riesgos'!$AC$60="Catastrófico"),CONCATENATE("R6C",'1. Mapa de Riesgos'!$Q$60),"")</f>
        <v/>
      </c>
      <c r="AM31" s="15" t="str">
        <f>IF(AND('1. Mapa de Riesgos'!$AA$61="Media",'1. Mapa de Riesgos'!$AC$61="Catastrófico"),CONCATENATE("R6C",'1. Mapa de Riesgos'!$Q$61),"")</f>
        <v/>
      </c>
      <c r="AN31" s="41"/>
      <c r="AO31" s="555"/>
      <c r="AP31" s="556"/>
      <c r="AQ31" s="556"/>
      <c r="AR31" s="556"/>
      <c r="AS31" s="556"/>
      <c r="AT31" s="557"/>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row>
    <row r="32" spans="1:76" ht="15" customHeight="1" x14ac:dyDescent="0.25">
      <c r="A32" s="41"/>
      <c r="B32" s="474"/>
      <c r="C32" s="474"/>
      <c r="D32" s="475"/>
      <c r="E32" s="515"/>
      <c r="F32" s="516"/>
      <c r="G32" s="516"/>
      <c r="H32" s="516"/>
      <c r="I32" s="517"/>
      <c r="J32" s="25" t="str">
        <f>IF(AND('1. Mapa de Riesgos'!$AA$26="Media",'1. Mapa de Riesgos'!$AC$26="Leve"),CONCATENATE("R7C",'1. Mapa de Riesgos'!$Q$26),"")</f>
        <v/>
      </c>
      <c r="K32" s="26" t="str">
        <f>IF(AND('1. Mapa de Riesgos'!$AA$27="Media",'1. Mapa de Riesgos'!$AC$27="Leve"),CONCATENATE("R7C",'1. Mapa de Riesgos'!$Q$27),"")</f>
        <v/>
      </c>
      <c r="L32" s="26" t="str">
        <f>IF(AND('1. Mapa de Riesgos'!$AA$28="Media",'1. Mapa de Riesgos'!$AC$28="Leve"),CONCATENATE("R7C",'1. Mapa de Riesgos'!$Q$28),"")</f>
        <v/>
      </c>
      <c r="M32" s="26" t="str">
        <f>IF(AND('1. Mapa de Riesgos'!$AA$29="Media",'1. Mapa de Riesgos'!$AC$29="Leve"),CONCATENATE("R7C",'1. Mapa de Riesgos'!$Q$29),"")</f>
        <v/>
      </c>
      <c r="N32" s="26" t="str">
        <f>IF(AND('1. Mapa de Riesgos'!$AA$30="Media",'1. Mapa de Riesgos'!$AC$30="Leve"),CONCATENATE("R7C",'1. Mapa de Riesgos'!$Q$30),"")</f>
        <v/>
      </c>
      <c r="O32" s="27" t="str">
        <f>IF(AND('1. Mapa de Riesgos'!$AA$31="Media",'1. Mapa de Riesgos'!$AC$31="Leve"),CONCATENATE("R7C",'1. Mapa de Riesgos'!$Q$31),"")</f>
        <v/>
      </c>
      <c r="P32" s="25" t="str">
        <f>IF(AND('1. Mapa de Riesgos'!$AA$26="Media",'1. Mapa de Riesgos'!$AC$26="Menor"),CONCATENATE("R7C",'1. Mapa de Riesgos'!$Q$26),"")</f>
        <v/>
      </c>
      <c r="Q32" s="26" t="str">
        <f>IF(AND('1. Mapa de Riesgos'!$AA$27="Media",'1. Mapa de Riesgos'!$AC$27="Menor"),CONCATENATE("R7C",'1. Mapa de Riesgos'!$Q$27),"")</f>
        <v/>
      </c>
      <c r="R32" s="26" t="str">
        <f>IF(AND('1. Mapa de Riesgos'!$AA$28="Media",'1. Mapa de Riesgos'!$AC$28="Menor"),CONCATENATE("R7C",'1. Mapa de Riesgos'!$Q$28),"")</f>
        <v/>
      </c>
      <c r="S32" s="26" t="str">
        <f>IF(AND('1. Mapa de Riesgos'!$AA$29="Media",'1. Mapa de Riesgos'!$AC$29="Menor"),CONCATENATE("R7C",'1. Mapa de Riesgos'!$Q$29),"")</f>
        <v/>
      </c>
      <c r="T32" s="26" t="str">
        <f>IF(AND('1. Mapa de Riesgos'!$AA$30="Media",'1. Mapa de Riesgos'!$AC$30="Menor"),CONCATENATE("R7C",'1. Mapa de Riesgos'!$Q$30),"")</f>
        <v/>
      </c>
      <c r="U32" s="27" t="str">
        <f>IF(AND('1. Mapa de Riesgos'!$AA$31="Media",'1. Mapa de Riesgos'!$AC$31="Menor"),CONCATENATE("R7C",'1. Mapa de Riesgos'!$Q$31),"")</f>
        <v/>
      </c>
      <c r="V32" s="25" t="str">
        <f>IF(AND('1. Mapa de Riesgos'!$AA$26="Media",'1. Mapa de Riesgos'!$AC$26="Moderado"),CONCATENATE("R7C",'1. Mapa de Riesgos'!$Q$26),"")</f>
        <v/>
      </c>
      <c r="W32" s="26" t="str">
        <f>IF(AND('1. Mapa de Riesgos'!$AA$27="Media",'1. Mapa de Riesgos'!$AC$27="Moderado"),CONCATENATE("R7C",'1. Mapa de Riesgos'!$Q$27),"")</f>
        <v/>
      </c>
      <c r="X32" s="26" t="str">
        <f>IF(AND('1. Mapa de Riesgos'!$AA$28="Media",'1. Mapa de Riesgos'!$AC$28="Moderado"),CONCATENATE("R7C",'1. Mapa de Riesgos'!$Q$28),"")</f>
        <v/>
      </c>
      <c r="Y32" s="26" t="str">
        <f>IF(AND('1. Mapa de Riesgos'!$AA$29="Media",'1. Mapa de Riesgos'!$AC$29="Moderado"),CONCATENATE("R7C",'1. Mapa de Riesgos'!$Q$29),"")</f>
        <v/>
      </c>
      <c r="Z32" s="26" t="str">
        <f>IF(AND('1. Mapa de Riesgos'!$AA$30="Media",'1. Mapa de Riesgos'!$AC$30="Moderado"),CONCATENATE("R7C",'1. Mapa de Riesgos'!$Q$30),"")</f>
        <v/>
      </c>
      <c r="AA32" s="27" t="str">
        <f>IF(AND('1. Mapa de Riesgos'!$AA$31="Media",'1. Mapa de Riesgos'!$AC$31="Moderado"),CONCATENATE("R7C",'1. Mapa de Riesgos'!$Q$31),"")</f>
        <v/>
      </c>
      <c r="AB32" s="10" t="str">
        <f>IF(AND('1. Mapa de Riesgos'!$AA$26="Media",'1. Mapa de Riesgos'!$AC$26="Mayor"),CONCATENATE("R7C",'1. Mapa de Riesgos'!$Q$26),"")</f>
        <v/>
      </c>
      <c r="AC32" s="11" t="str">
        <f>IF(AND('1. Mapa de Riesgos'!$AA$27="Media",'1. Mapa de Riesgos'!$AC$27="Mayor"),CONCATENATE("R7C",'1. Mapa de Riesgos'!$Q$27),"")</f>
        <v/>
      </c>
      <c r="AD32" s="11" t="str">
        <f>IF(AND('1. Mapa de Riesgos'!$AA$28="Media",'1. Mapa de Riesgos'!$AC$28="Mayor"),CONCATENATE("R7C",'1. Mapa de Riesgos'!$Q$28),"")</f>
        <v/>
      </c>
      <c r="AE32" s="11" t="str">
        <f>IF(AND('1. Mapa de Riesgos'!$AA$29="Media",'1. Mapa de Riesgos'!$AC$29="Mayor"),CONCATENATE("R7C",'1. Mapa de Riesgos'!$Q$29),"")</f>
        <v/>
      </c>
      <c r="AF32" s="11" t="str">
        <f>IF(AND('1. Mapa de Riesgos'!$AA$30="Media",'1. Mapa de Riesgos'!$AC$30="Mayor"),CONCATENATE("R7C",'1. Mapa de Riesgos'!$Q$30),"")</f>
        <v/>
      </c>
      <c r="AG32" s="12" t="str">
        <f>IF(AND('1. Mapa de Riesgos'!$AA$31="Media",'1. Mapa de Riesgos'!$AC$31="Mayor"),CONCATENATE("R7C",'1. Mapa de Riesgos'!$Q$31),"")</f>
        <v/>
      </c>
      <c r="AH32" s="13" t="str">
        <f>IF(AND('1. Mapa de Riesgos'!$AA$26="Media",'1. Mapa de Riesgos'!$AC$26="Catastrófico"),CONCATENATE("R7C",'1. Mapa de Riesgos'!$Q$26),"")</f>
        <v/>
      </c>
      <c r="AI32" s="14" t="str">
        <f>IF(AND('1. Mapa de Riesgos'!$AA$27="Media",'1. Mapa de Riesgos'!$AC$27="Catastrófico"),CONCATENATE("R7C",'1. Mapa de Riesgos'!$Q$27),"")</f>
        <v/>
      </c>
      <c r="AJ32" s="14" t="str">
        <f>IF(AND('1. Mapa de Riesgos'!$AA$28="Media",'1. Mapa de Riesgos'!$AC$28="Catastrófico"),CONCATENATE("R7C",'1. Mapa de Riesgos'!$Q$28),"")</f>
        <v/>
      </c>
      <c r="AK32" s="14" t="str">
        <f>IF(AND('1. Mapa de Riesgos'!$AA$29="Media",'1. Mapa de Riesgos'!$AC$29="Catastrófico"),CONCATENATE("R7C",'1. Mapa de Riesgos'!$Q$29),"")</f>
        <v/>
      </c>
      <c r="AL32" s="14" t="str">
        <f>IF(AND('1. Mapa de Riesgos'!$AA$30="Media",'1. Mapa de Riesgos'!$AC$30="Catastrófico"),CONCATENATE("R7C",'1. Mapa de Riesgos'!$Q$30),"")</f>
        <v/>
      </c>
      <c r="AM32" s="15" t="str">
        <f>IF(AND('1. Mapa de Riesgos'!$AA$31="Media",'1. Mapa de Riesgos'!$AC$31="Catastrófico"),CONCATENATE("R7C",'1. Mapa de Riesgos'!$Q$31),"")</f>
        <v/>
      </c>
      <c r="AN32" s="41"/>
      <c r="AO32" s="555"/>
      <c r="AP32" s="556"/>
      <c r="AQ32" s="556"/>
      <c r="AR32" s="556"/>
      <c r="AS32" s="556"/>
      <c r="AT32" s="557"/>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row>
    <row r="33" spans="1:80" ht="15" customHeight="1" x14ac:dyDescent="0.25">
      <c r="A33" s="41"/>
      <c r="B33" s="474"/>
      <c r="C33" s="474"/>
      <c r="D33" s="475"/>
      <c r="E33" s="515"/>
      <c r="F33" s="516"/>
      <c r="G33" s="516"/>
      <c r="H33" s="516"/>
      <c r="I33" s="517"/>
      <c r="J33" s="25" t="str">
        <f>IF(AND('1. Mapa de Riesgos'!$AA$20="Media",'1. Mapa de Riesgos'!$AC$20="Leve"),CONCATENATE("R8C",'1. Mapa de Riesgos'!$Q$20),"")</f>
        <v/>
      </c>
      <c r="K33" s="26" t="str">
        <f>IF(AND('1. Mapa de Riesgos'!$AA$21="Media",'1. Mapa de Riesgos'!$AC$21="Leve"),CONCATENATE("R8C",'1. Mapa de Riesgos'!$Q$21),"")</f>
        <v/>
      </c>
      <c r="L33" s="26" t="str">
        <f>IF(AND('1. Mapa de Riesgos'!$AA$22="Media",'1. Mapa de Riesgos'!$AC$22="Leve"),CONCATENATE("R8C",'1. Mapa de Riesgos'!$Q$22),"")</f>
        <v/>
      </c>
      <c r="M33" s="26" t="str">
        <f>IF(AND('1. Mapa de Riesgos'!$AA$23="Media",'1. Mapa de Riesgos'!$AC$23="Leve"),CONCATENATE("R8C",'1. Mapa de Riesgos'!$Q$23),"")</f>
        <v/>
      </c>
      <c r="N33" s="26" t="str">
        <f>IF(AND('1. Mapa de Riesgos'!$AA$24="Media",'1. Mapa de Riesgos'!$AC$24="Leve"),CONCATENATE("R8C",'1. Mapa de Riesgos'!$Q$24),"")</f>
        <v/>
      </c>
      <c r="O33" s="27" t="str">
        <f>IF(AND('1. Mapa de Riesgos'!$AA$25="Media",'1. Mapa de Riesgos'!$AC$25="Leve"),CONCATENATE("R8C",'1. Mapa de Riesgos'!$Q$25),"")</f>
        <v/>
      </c>
      <c r="P33" s="25" t="str">
        <f>IF(AND('1. Mapa de Riesgos'!$AA$20="Media",'1. Mapa de Riesgos'!$AC$20="Menor"),CONCATENATE("R8C",'1. Mapa de Riesgos'!$Q$20),"")</f>
        <v/>
      </c>
      <c r="Q33" s="26" t="str">
        <f>IF(AND('1. Mapa de Riesgos'!$AA$21="Media",'1. Mapa de Riesgos'!$AC$21="Menor"),CONCATENATE("R8C",'1. Mapa de Riesgos'!$Q$21),"")</f>
        <v/>
      </c>
      <c r="R33" s="26" t="str">
        <f>IF(AND('1. Mapa de Riesgos'!$AA$22="Media",'1. Mapa de Riesgos'!$AC$22="Menor"),CONCATENATE("R8C",'1. Mapa de Riesgos'!$Q$22),"")</f>
        <v/>
      </c>
      <c r="S33" s="26" t="str">
        <f>IF(AND('1. Mapa de Riesgos'!$AA$23="Media",'1. Mapa de Riesgos'!$AC$23="Menor"),CONCATENATE("R8C",'1. Mapa de Riesgos'!$Q$23),"")</f>
        <v/>
      </c>
      <c r="T33" s="26" t="str">
        <f>IF(AND('1. Mapa de Riesgos'!$AA$24="Media",'1. Mapa de Riesgos'!$AC$24="Menor"),CONCATENATE("R8C",'1. Mapa de Riesgos'!$Q$24),"")</f>
        <v/>
      </c>
      <c r="U33" s="27" t="str">
        <f>IF(AND('1. Mapa de Riesgos'!$AA$25="Media",'1. Mapa de Riesgos'!$AC$25="Menor"),CONCATENATE("R8C",'1. Mapa de Riesgos'!$Q$25),"")</f>
        <v/>
      </c>
      <c r="V33" s="25" t="str">
        <f>IF(AND('1. Mapa de Riesgos'!$AA$20="Media",'1. Mapa de Riesgos'!$AC$20="Moderado"),CONCATENATE("R8C",'1. Mapa de Riesgos'!$Q$20),"")</f>
        <v/>
      </c>
      <c r="W33" s="26" t="str">
        <f>IF(AND('1. Mapa de Riesgos'!$AA$21="Media",'1. Mapa de Riesgos'!$AC$21="Moderado"),CONCATENATE("R8C",'1. Mapa de Riesgos'!$Q$21),"")</f>
        <v/>
      </c>
      <c r="X33" s="26" t="str">
        <f>IF(AND('1. Mapa de Riesgos'!$AA$22="Media",'1. Mapa de Riesgos'!$AC$22="Moderado"),CONCATENATE("R8C",'1. Mapa de Riesgos'!$Q$22),"")</f>
        <v/>
      </c>
      <c r="Y33" s="26" t="str">
        <f>IF(AND('1. Mapa de Riesgos'!$AA$23="Media",'1. Mapa de Riesgos'!$AC$23="Moderado"),CONCATENATE("R8C",'1. Mapa de Riesgos'!$Q$23),"")</f>
        <v/>
      </c>
      <c r="Z33" s="26" t="str">
        <f>IF(AND('1. Mapa de Riesgos'!$AA$24="Media",'1. Mapa de Riesgos'!$AC$24="Moderado"),CONCATENATE("R8C",'1. Mapa de Riesgos'!$Q$24),"")</f>
        <v/>
      </c>
      <c r="AA33" s="27" t="str">
        <f>IF(AND('1. Mapa de Riesgos'!$AA$25="Media",'1. Mapa de Riesgos'!$AC$25="Moderado"),CONCATENATE("R8C",'1. Mapa de Riesgos'!$Q$25),"")</f>
        <v/>
      </c>
      <c r="AB33" s="10" t="str">
        <f>IF(AND('1. Mapa de Riesgos'!$AA$20="Media",'1. Mapa de Riesgos'!$AC$20="Mayor"),CONCATENATE("R8C",'1. Mapa de Riesgos'!$Q$20),"")</f>
        <v/>
      </c>
      <c r="AC33" s="11" t="str">
        <f>IF(AND('1. Mapa de Riesgos'!$AA$21="Media",'1. Mapa de Riesgos'!$AC$21="Mayor"),CONCATENATE("R8C",'1. Mapa de Riesgos'!$Q$21),"")</f>
        <v/>
      </c>
      <c r="AD33" s="11" t="str">
        <f>IF(AND('1. Mapa de Riesgos'!$AA$22="Media",'1. Mapa de Riesgos'!$AC$22="Mayor"),CONCATENATE("R8C",'1. Mapa de Riesgos'!$Q$22),"")</f>
        <v/>
      </c>
      <c r="AE33" s="11" t="str">
        <f>IF(AND('1. Mapa de Riesgos'!$AA$23="Media",'1. Mapa de Riesgos'!$AC$23="Mayor"),CONCATENATE("R8C",'1. Mapa de Riesgos'!$Q$23),"")</f>
        <v/>
      </c>
      <c r="AF33" s="11" t="str">
        <f>IF(AND('1. Mapa de Riesgos'!$AA$24="Media",'1. Mapa de Riesgos'!$AC$24="Mayor"),CONCATENATE("R8C",'1. Mapa de Riesgos'!$Q$24),"")</f>
        <v/>
      </c>
      <c r="AG33" s="12" t="str">
        <f>IF(AND('1. Mapa de Riesgos'!$AA$25="Media",'1. Mapa de Riesgos'!$AC$25="Mayor"),CONCATENATE("R8C",'1. Mapa de Riesgos'!$Q$25),"")</f>
        <v/>
      </c>
      <c r="AH33" s="13" t="str">
        <f>IF(AND('1. Mapa de Riesgos'!$AA$20="Media",'1. Mapa de Riesgos'!$AC$20="Catastrófico"),CONCATENATE("R8C",'1. Mapa de Riesgos'!$Q$20),"")</f>
        <v/>
      </c>
      <c r="AI33" s="14" t="str">
        <f>IF(AND('1. Mapa de Riesgos'!$AA$21="Media",'1. Mapa de Riesgos'!$AC$21="Catastrófico"),CONCATENATE("R8C",'1. Mapa de Riesgos'!$Q$21),"")</f>
        <v/>
      </c>
      <c r="AJ33" s="14" t="str">
        <f>IF(AND('1. Mapa de Riesgos'!$AA$22="Media",'1. Mapa de Riesgos'!$AC$22="Catastrófico"),CONCATENATE("R8C",'1. Mapa de Riesgos'!$Q$22),"")</f>
        <v/>
      </c>
      <c r="AK33" s="14" t="str">
        <f>IF(AND('1. Mapa de Riesgos'!$AA$23="Media",'1. Mapa de Riesgos'!$AC$23="Catastrófico"),CONCATENATE("R8C",'1. Mapa de Riesgos'!$Q$23),"")</f>
        <v/>
      </c>
      <c r="AL33" s="14" t="str">
        <f>IF(AND('1. Mapa de Riesgos'!$AA$24="Media",'1. Mapa de Riesgos'!$AC$24="Catastrófico"),CONCATENATE("R8C",'1. Mapa de Riesgos'!$Q$24),"")</f>
        <v/>
      </c>
      <c r="AM33" s="15" t="str">
        <f>IF(AND('1. Mapa de Riesgos'!$AA$25="Media",'1. Mapa de Riesgos'!$AC$25="Catastrófico"),CONCATENATE("R8C",'1. Mapa de Riesgos'!$Q$25),"")</f>
        <v/>
      </c>
      <c r="AN33" s="41"/>
      <c r="AO33" s="555"/>
      <c r="AP33" s="556"/>
      <c r="AQ33" s="556"/>
      <c r="AR33" s="556"/>
      <c r="AS33" s="556"/>
      <c r="AT33" s="557"/>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row>
    <row r="34" spans="1:80" ht="15" customHeight="1" x14ac:dyDescent="0.25">
      <c r="A34" s="41"/>
      <c r="B34" s="474"/>
      <c r="C34" s="474"/>
      <c r="D34" s="475"/>
      <c r="E34" s="515"/>
      <c r="F34" s="516"/>
      <c r="G34" s="516"/>
      <c r="H34" s="516"/>
      <c r="I34" s="517"/>
      <c r="J34" s="25" t="str">
        <f>IF(AND('1. Mapa de Riesgos'!$AA$62="Media",'1. Mapa de Riesgos'!$AC$62="Leve"),CONCATENATE("R9C",'1. Mapa de Riesgos'!$Q$62),"")</f>
        <v/>
      </c>
      <c r="K34" s="26" t="str">
        <f>IF(AND('1. Mapa de Riesgos'!$AA$63="Media",'1. Mapa de Riesgos'!$AC$63="Leve"),CONCATENATE("R9C",'1. Mapa de Riesgos'!$Q$63),"")</f>
        <v/>
      </c>
      <c r="L34" s="26" t="str">
        <f>IF(AND('1. Mapa de Riesgos'!$AA$64="Media",'1. Mapa de Riesgos'!$AC$64="Leve"),CONCATENATE("R9C",'1. Mapa de Riesgos'!$Q$64),"")</f>
        <v/>
      </c>
      <c r="M34" s="26" t="str">
        <f>IF(AND('1. Mapa de Riesgos'!$AA$65="Media",'1. Mapa de Riesgos'!$AC$65="Leve"),CONCATENATE("R9C",'1. Mapa de Riesgos'!$Q$65),"")</f>
        <v/>
      </c>
      <c r="N34" s="26" t="str">
        <f>IF(AND('1. Mapa de Riesgos'!$AA$66="Media",'1. Mapa de Riesgos'!$AC$66="Leve"),CONCATENATE("R9C",'1. Mapa de Riesgos'!$Q$66),"")</f>
        <v/>
      </c>
      <c r="O34" s="27" t="str">
        <f>IF(AND('1. Mapa de Riesgos'!$AA$67="Media",'1. Mapa de Riesgos'!$AC$67="Leve"),CONCATENATE("R9C",'1. Mapa de Riesgos'!$Q$67),"")</f>
        <v/>
      </c>
      <c r="P34" s="25" t="str">
        <f>IF(AND('1. Mapa de Riesgos'!$AA$62="Media",'1. Mapa de Riesgos'!$AC$62="Menor"),CONCATENATE("R9C",'1. Mapa de Riesgos'!$Q$62),"")</f>
        <v/>
      </c>
      <c r="Q34" s="26" t="str">
        <f>IF(AND('1. Mapa de Riesgos'!$AA$63="Media",'1. Mapa de Riesgos'!$AC$63="Menor"),CONCATENATE("R9C",'1. Mapa de Riesgos'!$Q$63),"")</f>
        <v/>
      </c>
      <c r="R34" s="26" t="str">
        <f>IF(AND('1. Mapa de Riesgos'!$AA$64="Media",'1. Mapa de Riesgos'!$AC$64="Menor"),CONCATENATE("R9C",'1. Mapa de Riesgos'!$Q$64),"")</f>
        <v/>
      </c>
      <c r="S34" s="26" t="str">
        <f>IF(AND('1. Mapa de Riesgos'!$AA$65="Media",'1. Mapa de Riesgos'!$AC$65="Menor"),CONCATENATE("R9C",'1. Mapa de Riesgos'!$Q$65),"")</f>
        <v/>
      </c>
      <c r="T34" s="26" t="str">
        <f>IF(AND('1. Mapa de Riesgos'!$AA$66="Media",'1. Mapa de Riesgos'!$AC$66="Menor"),CONCATENATE("R9C",'1. Mapa de Riesgos'!$Q$66),"")</f>
        <v/>
      </c>
      <c r="U34" s="27" t="str">
        <f>IF(AND('1. Mapa de Riesgos'!$AA$67="Media",'1. Mapa de Riesgos'!$AC$67="Menor"),CONCATENATE("R9C",'1. Mapa de Riesgos'!$Q$67),"")</f>
        <v/>
      </c>
      <c r="V34" s="25" t="str">
        <f>IF(AND('1. Mapa de Riesgos'!$AA$62="Media",'1. Mapa de Riesgos'!$AC$62="Moderado"),CONCATENATE("R9C",'1. Mapa de Riesgos'!$Q$62),"")</f>
        <v/>
      </c>
      <c r="W34" s="26" t="str">
        <f>IF(AND('1. Mapa de Riesgos'!$AA$63="Media",'1. Mapa de Riesgos'!$AC$63="Moderado"),CONCATENATE("R9C",'1. Mapa de Riesgos'!$Q$63),"")</f>
        <v/>
      </c>
      <c r="X34" s="26" t="str">
        <f>IF(AND('1. Mapa de Riesgos'!$AA$64="Media",'1. Mapa de Riesgos'!$AC$64="Moderado"),CONCATENATE("R9C",'1. Mapa de Riesgos'!$Q$64),"")</f>
        <v/>
      </c>
      <c r="Y34" s="26" t="str">
        <f>IF(AND('1. Mapa de Riesgos'!$AA$65="Media",'1. Mapa de Riesgos'!$AC$65="Moderado"),CONCATENATE("R9C",'1. Mapa de Riesgos'!$Q$65),"")</f>
        <v/>
      </c>
      <c r="Z34" s="26" t="str">
        <f>IF(AND('1. Mapa de Riesgos'!$AA$66="Media",'1. Mapa de Riesgos'!$AC$66="Moderado"),CONCATENATE("R9C",'1. Mapa de Riesgos'!$Q$66),"")</f>
        <v/>
      </c>
      <c r="AA34" s="27" t="str">
        <f>IF(AND('1. Mapa de Riesgos'!$AA$67="Media",'1. Mapa de Riesgos'!$AC$67="Moderado"),CONCATENATE("R9C",'1. Mapa de Riesgos'!$Q$67),"")</f>
        <v/>
      </c>
      <c r="AB34" s="10" t="str">
        <f>IF(AND('1. Mapa de Riesgos'!$AA$62="Media",'1. Mapa de Riesgos'!$AC$62="Mayor"),CONCATENATE("R9C",'1. Mapa de Riesgos'!$Q$62),"")</f>
        <v/>
      </c>
      <c r="AC34" s="11" t="str">
        <f>IF(AND('1. Mapa de Riesgos'!$AA$63="Media",'1. Mapa de Riesgos'!$AC$63="Mayor"),CONCATENATE("R9C",'1. Mapa de Riesgos'!$Q$63),"")</f>
        <v/>
      </c>
      <c r="AD34" s="11" t="str">
        <f>IF(AND('1. Mapa de Riesgos'!$AA$64="Media",'1. Mapa de Riesgos'!$AC$64="Mayor"),CONCATENATE("R9C",'1. Mapa de Riesgos'!$Q$64),"")</f>
        <v/>
      </c>
      <c r="AE34" s="11" t="str">
        <f>IF(AND('1. Mapa de Riesgos'!$AA$65="Media",'1. Mapa de Riesgos'!$AC$65="Mayor"),CONCATENATE("R9C",'1. Mapa de Riesgos'!$Q$65),"")</f>
        <v/>
      </c>
      <c r="AF34" s="11" t="str">
        <f>IF(AND('1. Mapa de Riesgos'!$AA$66="Media",'1. Mapa de Riesgos'!$AC$66="Mayor"),CONCATENATE("R9C",'1. Mapa de Riesgos'!$Q$66),"")</f>
        <v/>
      </c>
      <c r="AG34" s="12" t="str">
        <f>IF(AND('1. Mapa de Riesgos'!$AA$67="Media",'1. Mapa de Riesgos'!$AC$67="Mayor"),CONCATENATE("R9C",'1. Mapa de Riesgos'!$Q$67),"")</f>
        <v/>
      </c>
      <c r="AH34" s="13" t="str">
        <f>IF(AND('1. Mapa de Riesgos'!$AA$62="Media",'1. Mapa de Riesgos'!$AC$62="Catastrófico"),CONCATENATE("R9C",'1. Mapa de Riesgos'!$Q$62),"")</f>
        <v/>
      </c>
      <c r="AI34" s="14" t="str">
        <f>IF(AND('1. Mapa de Riesgos'!$AA$63="Media",'1. Mapa de Riesgos'!$AC$63="Catastrófico"),CONCATENATE("R9C",'1. Mapa de Riesgos'!$Q$63),"")</f>
        <v/>
      </c>
      <c r="AJ34" s="14" t="str">
        <f>IF(AND('1. Mapa de Riesgos'!$AA$64="Media",'1. Mapa de Riesgos'!$AC$64="Catastrófico"),CONCATENATE("R9C",'1. Mapa de Riesgos'!$Q$64),"")</f>
        <v/>
      </c>
      <c r="AK34" s="14" t="str">
        <f>IF(AND('1. Mapa de Riesgos'!$AA$65="Media",'1. Mapa de Riesgos'!$AC$65="Catastrófico"),CONCATENATE("R9C",'1. Mapa de Riesgos'!$Q$65),"")</f>
        <v/>
      </c>
      <c r="AL34" s="14" t="str">
        <f>IF(AND('1. Mapa de Riesgos'!$AA$66="Media",'1. Mapa de Riesgos'!$AC$66="Catastrófico"),CONCATENATE("R9C",'1. Mapa de Riesgos'!$Q$66),"")</f>
        <v/>
      </c>
      <c r="AM34" s="15" t="str">
        <f>IF(AND('1. Mapa de Riesgos'!$AA$67="Media",'1. Mapa de Riesgos'!$AC$67="Catastrófico"),CONCATENATE("R9C",'1. Mapa de Riesgos'!$Q$67),"")</f>
        <v/>
      </c>
      <c r="AN34" s="41"/>
      <c r="AO34" s="555"/>
      <c r="AP34" s="556"/>
      <c r="AQ34" s="556"/>
      <c r="AR34" s="556"/>
      <c r="AS34" s="556"/>
      <c r="AT34" s="557"/>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row>
    <row r="35" spans="1:80" ht="15.75" customHeight="1" thickBot="1" x14ac:dyDescent="0.3">
      <c r="A35" s="41"/>
      <c r="B35" s="474"/>
      <c r="C35" s="474"/>
      <c r="D35" s="475"/>
      <c r="E35" s="518"/>
      <c r="F35" s="519"/>
      <c r="G35" s="519"/>
      <c r="H35" s="519"/>
      <c r="I35" s="520"/>
      <c r="J35" s="25" t="str">
        <f>IF(AND('1. Mapa de Riesgos'!$AA$68="Media",'1. Mapa de Riesgos'!$AC$68="Leve"),CONCATENATE("R10C",'1. Mapa de Riesgos'!$Q$68),"")</f>
        <v/>
      </c>
      <c r="K35" s="26" t="str">
        <f>IF(AND('1. Mapa de Riesgos'!$AA$69="Media",'1. Mapa de Riesgos'!$AC$69="Leve"),CONCATENATE("R10C",'1. Mapa de Riesgos'!$Q$69),"")</f>
        <v/>
      </c>
      <c r="L35" s="26" t="str">
        <f>IF(AND('1. Mapa de Riesgos'!$AA$70="Media",'1. Mapa de Riesgos'!$AC$70="Leve"),CONCATENATE("R10C",'1. Mapa de Riesgos'!$Q$70),"")</f>
        <v/>
      </c>
      <c r="M35" s="26" t="str">
        <f>IF(AND('1. Mapa de Riesgos'!$AA$71="Media",'1. Mapa de Riesgos'!$AC$71="Leve"),CONCATENATE("R10C",'1. Mapa de Riesgos'!$Q$71),"")</f>
        <v/>
      </c>
      <c r="N35" s="26" t="str">
        <f>IF(AND('1. Mapa de Riesgos'!$AA$72="Media",'1. Mapa de Riesgos'!$AC$72="Leve"),CONCATENATE("R10C",'1. Mapa de Riesgos'!$Q$72),"")</f>
        <v/>
      </c>
      <c r="O35" s="27" t="str">
        <f>IF(AND('1. Mapa de Riesgos'!$AA$73="Media",'1. Mapa de Riesgos'!$AC$73="Leve"),CONCATENATE("R10C",'1. Mapa de Riesgos'!$Q$73),"")</f>
        <v/>
      </c>
      <c r="P35" s="25" t="str">
        <f>IF(AND('1. Mapa de Riesgos'!$AA$68="Media",'1. Mapa de Riesgos'!$AC$68="Menor"),CONCATENATE("R10C",'1. Mapa de Riesgos'!$Q$68),"")</f>
        <v/>
      </c>
      <c r="Q35" s="26" t="str">
        <f>IF(AND('1. Mapa de Riesgos'!$AA$69="Media",'1. Mapa de Riesgos'!$AC$69="Menor"),CONCATENATE("R10C",'1. Mapa de Riesgos'!$Q$69),"")</f>
        <v/>
      </c>
      <c r="R35" s="26" t="str">
        <f>IF(AND('1. Mapa de Riesgos'!$AA$70="Media",'1. Mapa de Riesgos'!$AC$70="Menor"),CONCATENATE("R10C",'1. Mapa de Riesgos'!$Q$70),"")</f>
        <v/>
      </c>
      <c r="S35" s="26" t="str">
        <f>IF(AND('1. Mapa de Riesgos'!$AA$71="Media",'1. Mapa de Riesgos'!$AC$71="Menor"),CONCATENATE("R10C",'1. Mapa de Riesgos'!$Q$71),"")</f>
        <v/>
      </c>
      <c r="T35" s="26" t="str">
        <f>IF(AND('1. Mapa de Riesgos'!$AA$72="Media",'1. Mapa de Riesgos'!$AC$72="Menor"),CONCATENATE("R10C",'1. Mapa de Riesgos'!$Q$72),"")</f>
        <v/>
      </c>
      <c r="U35" s="27" t="str">
        <f>IF(AND('1. Mapa de Riesgos'!$AA$73="Media",'1. Mapa de Riesgos'!$AC$73="Menor"),CONCATENATE("R10C",'1. Mapa de Riesgos'!$Q$73),"")</f>
        <v/>
      </c>
      <c r="V35" s="25" t="str">
        <f>IF(AND('1. Mapa de Riesgos'!$AA$68="Media",'1. Mapa de Riesgos'!$AC$68="Moderado"),CONCATENATE("R10C",'1. Mapa de Riesgos'!$Q$68),"")</f>
        <v/>
      </c>
      <c r="W35" s="26" t="str">
        <f>IF(AND('1. Mapa de Riesgos'!$AA$69="Media",'1. Mapa de Riesgos'!$AC$69="Moderado"),CONCATENATE("R10C",'1. Mapa de Riesgos'!$Q$69),"")</f>
        <v/>
      </c>
      <c r="X35" s="26" t="str">
        <f>IF(AND('1. Mapa de Riesgos'!$AA$70="Media",'1. Mapa de Riesgos'!$AC$70="Moderado"),CONCATENATE("R10C",'1. Mapa de Riesgos'!$Q$70),"")</f>
        <v/>
      </c>
      <c r="Y35" s="26" t="str">
        <f>IF(AND('1. Mapa de Riesgos'!$AA$71="Media",'1. Mapa de Riesgos'!$AC$71="Moderado"),CONCATENATE("R10C",'1. Mapa de Riesgos'!$Q$71),"")</f>
        <v/>
      </c>
      <c r="Z35" s="26" t="str">
        <f>IF(AND('1. Mapa de Riesgos'!$AA$72="Media",'1. Mapa de Riesgos'!$AC$72="Moderado"),CONCATENATE("R10C",'1. Mapa de Riesgos'!$Q$72),"")</f>
        <v/>
      </c>
      <c r="AA35" s="27" t="str">
        <f>IF(AND('1. Mapa de Riesgos'!$AA$73="Media",'1. Mapa de Riesgos'!$AC$73="Moderado"),CONCATENATE("R10C",'1. Mapa de Riesgos'!$Q$73),"")</f>
        <v/>
      </c>
      <c r="AB35" s="16" t="str">
        <f>IF(AND('1. Mapa de Riesgos'!$AA$68="Media",'1. Mapa de Riesgos'!$AC$68="Mayor"),CONCATENATE("R10C",'1. Mapa de Riesgos'!$Q$68),"")</f>
        <v/>
      </c>
      <c r="AC35" s="17" t="str">
        <f>IF(AND('1. Mapa de Riesgos'!$AA$69="Media",'1. Mapa de Riesgos'!$AC$69="Mayor"),CONCATENATE("R10C",'1. Mapa de Riesgos'!$Q$69),"")</f>
        <v/>
      </c>
      <c r="AD35" s="17" t="str">
        <f>IF(AND('1. Mapa de Riesgos'!$AA$70="Media",'1. Mapa de Riesgos'!$AC$70="Mayor"),CONCATENATE("R10C",'1. Mapa de Riesgos'!$Q$70),"")</f>
        <v/>
      </c>
      <c r="AE35" s="17" t="str">
        <f>IF(AND('1. Mapa de Riesgos'!$AA$71="Media",'1. Mapa de Riesgos'!$AC$71="Mayor"),CONCATENATE("R10C",'1. Mapa de Riesgos'!$Q$71),"")</f>
        <v/>
      </c>
      <c r="AF35" s="17" t="str">
        <f>IF(AND('1. Mapa de Riesgos'!$AA$72="Media",'1. Mapa de Riesgos'!$AC$72="Mayor"),CONCATENATE("R10C",'1. Mapa de Riesgos'!$Q$72),"")</f>
        <v/>
      </c>
      <c r="AG35" s="18" t="str">
        <f>IF(AND('1. Mapa de Riesgos'!$AA$73="Media",'1. Mapa de Riesgos'!$AC$73="Mayor"),CONCATENATE("R10C",'1. Mapa de Riesgos'!$Q$73),"")</f>
        <v/>
      </c>
      <c r="AH35" s="19" t="str">
        <f>IF(AND('1. Mapa de Riesgos'!$AA$68="Media",'1. Mapa de Riesgos'!$AC$68="Catastrófico"),CONCATENATE("R10C",'1. Mapa de Riesgos'!$Q$68),"")</f>
        <v/>
      </c>
      <c r="AI35" s="20" t="str">
        <f>IF(AND('1. Mapa de Riesgos'!$AA$69="Media",'1. Mapa de Riesgos'!$AC$69="Catastrófico"),CONCATENATE("R10C",'1. Mapa de Riesgos'!$Q$69),"")</f>
        <v/>
      </c>
      <c r="AJ35" s="20" t="str">
        <f>IF(AND('1. Mapa de Riesgos'!$AA$70="Media",'1. Mapa de Riesgos'!$AC$70="Catastrófico"),CONCATENATE("R10C",'1. Mapa de Riesgos'!$Q$70),"")</f>
        <v/>
      </c>
      <c r="AK35" s="20" t="str">
        <f>IF(AND('1. Mapa de Riesgos'!$AA$71="Media",'1. Mapa de Riesgos'!$AC$71="Catastrófico"),CONCATENATE("R10C",'1. Mapa de Riesgos'!$Q$71),"")</f>
        <v/>
      </c>
      <c r="AL35" s="20" t="str">
        <f>IF(AND('1. Mapa de Riesgos'!$AA$72="Media",'1. Mapa de Riesgos'!$AC$72="Catastrófico"),CONCATENATE("R10C",'1. Mapa de Riesgos'!$Q$72),"")</f>
        <v/>
      </c>
      <c r="AM35" s="21" t="str">
        <f>IF(AND('1. Mapa de Riesgos'!$AA$73="Media",'1. Mapa de Riesgos'!$AC$73="Catastrófico"),CONCATENATE("R10C",'1. Mapa de Riesgos'!$Q$73),"")</f>
        <v/>
      </c>
      <c r="AN35" s="41"/>
      <c r="AO35" s="558"/>
      <c r="AP35" s="559"/>
      <c r="AQ35" s="559"/>
      <c r="AR35" s="559"/>
      <c r="AS35" s="559"/>
      <c r="AT35" s="560"/>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1"/>
      <c r="BW35" s="41"/>
      <c r="BX35" s="41"/>
    </row>
    <row r="36" spans="1:80" ht="15" customHeight="1" x14ac:dyDescent="0.25">
      <c r="A36" s="41"/>
      <c r="B36" s="474"/>
      <c r="C36" s="474"/>
      <c r="D36" s="475"/>
      <c r="E36" s="512" t="s">
        <v>117</v>
      </c>
      <c r="F36" s="513"/>
      <c r="G36" s="513"/>
      <c r="H36" s="513"/>
      <c r="I36" s="513"/>
      <c r="J36" s="31" t="str">
        <f>IF(AND('1. Mapa de Riesgos'!$AA$14="Baja",'1. Mapa de Riesgos'!$AC$14="Leve"),CONCATENATE("R1C",'1. Mapa de Riesgos'!$Q$14),"")</f>
        <v/>
      </c>
      <c r="K36" s="32" t="str">
        <f>IF(AND('1. Mapa de Riesgos'!$AA$15="Baja",'1. Mapa de Riesgos'!$AC$15="Leve"),CONCATENATE("R1C",'1. Mapa de Riesgos'!$Q$15),"")</f>
        <v/>
      </c>
      <c r="L36" s="32" t="str">
        <f>IF(AND('1. Mapa de Riesgos'!$AA$16="Baja",'1. Mapa de Riesgos'!$AC$16="Leve"),CONCATENATE("R1C",'1. Mapa de Riesgos'!$Q$16),"")</f>
        <v/>
      </c>
      <c r="M36" s="32" t="str">
        <f>IF(AND('1. Mapa de Riesgos'!$AA$17="Baja",'1. Mapa de Riesgos'!$AC$17="Leve"),CONCATENATE("R1C",'1. Mapa de Riesgos'!$Q$17),"")</f>
        <v/>
      </c>
      <c r="N36" s="32" t="str">
        <f>IF(AND('1. Mapa de Riesgos'!$AA$18="Baja",'1. Mapa de Riesgos'!$AC$18="Leve"),CONCATENATE("R1C",'1. Mapa de Riesgos'!$Q$18),"")</f>
        <v/>
      </c>
      <c r="O36" s="33" t="str">
        <f>IF(AND('1. Mapa de Riesgos'!$AA$19="Baja",'1. Mapa de Riesgos'!$AC$19="Leve"),CONCATENATE("R1C",'1. Mapa de Riesgos'!$Q$19),"")</f>
        <v/>
      </c>
      <c r="P36" s="22" t="str">
        <f>IF(AND('1. Mapa de Riesgos'!$AA$14="Baja",'1. Mapa de Riesgos'!$AC$14="Menor"),CONCATENATE("R1C",'1. Mapa de Riesgos'!$Q$14),"")</f>
        <v/>
      </c>
      <c r="Q36" s="23" t="str">
        <f>IF(AND('1. Mapa de Riesgos'!$AA$15="Baja",'1. Mapa de Riesgos'!$AC$15="Menor"),CONCATENATE("R1C",'1. Mapa de Riesgos'!$Q$15),"")</f>
        <v/>
      </c>
      <c r="R36" s="23" t="str">
        <f>IF(AND('1. Mapa de Riesgos'!$AA$16="Baja",'1. Mapa de Riesgos'!$AC$16="Menor"),CONCATENATE("R1C",'1. Mapa de Riesgos'!$Q$16),"")</f>
        <v/>
      </c>
      <c r="S36" s="23" t="str">
        <f>IF(AND('1. Mapa de Riesgos'!$AA$17="Baja",'1. Mapa de Riesgos'!$AC$17="Menor"),CONCATENATE("R1C",'1. Mapa de Riesgos'!$Q$17),"")</f>
        <v/>
      </c>
      <c r="T36" s="23" t="str">
        <f>IF(AND('1. Mapa de Riesgos'!$AA$18="Baja",'1. Mapa de Riesgos'!$AC$18="Menor"),CONCATENATE("R1C",'1. Mapa de Riesgos'!$Q$18),"")</f>
        <v/>
      </c>
      <c r="U36" s="24" t="str">
        <f>IF(AND('1. Mapa de Riesgos'!$AA$19="Baja",'1. Mapa de Riesgos'!$AC$19="Menor"),CONCATENATE("R1C",'1. Mapa de Riesgos'!$Q$19),"")</f>
        <v/>
      </c>
      <c r="V36" s="22" t="str">
        <f>IF(AND('1. Mapa de Riesgos'!$AA$14="Baja",'1. Mapa de Riesgos'!$AC$14="Moderado"),CONCATENATE("R1C",'1. Mapa de Riesgos'!$Q$14),"")</f>
        <v/>
      </c>
      <c r="W36" s="23" t="str">
        <f>IF(AND('1. Mapa de Riesgos'!$AA$15="Baja",'1. Mapa de Riesgos'!$AC$15="Moderado"),CONCATENATE("R1C",'1. Mapa de Riesgos'!$Q$15),"")</f>
        <v/>
      </c>
      <c r="X36" s="23" t="str">
        <f>IF(AND('1. Mapa de Riesgos'!$AA$16="Baja",'1. Mapa de Riesgos'!$AC$16="Moderado"),CONCATENATE("R1C",'1. Mapa de Riesgos'!$Q$16),"")</f>
        <v/>
      </c>
      <c r="Y36" s="23" t="str">
        <f>IF(AND('1. Mapa de Riesgos'!$AA$17="Baja",'1. Mapa de Riesgos'!$AC$17="Moderado"),CONCATENATE("R1C",'1. Mapa de Riesgos'!$Q$17),"")</f>
        <v/>
      </c>
      <c r="Z36" s="23" t="str">
        <f>IF(AND('1. Mapa de Riesgos'!$AA$18="Baja",'1. Mapa de Riesgos'!$AC$18="Moderado"),CONCATENATE("R1C",'1. Mapa de Riesgos'!$Q$18),"")</f>
        <v/>
      </c>
      <c r="AA36" s="24" t="str">
        <f>IF(AND('1. Mapa de Riesgos'!$AA$19="Baja",'1. Mapa de Riesgos'!$AC$19="Moderado"),CONCATENATE("R1C",'1. Mapa de Riesgos'!$Q$19),"")</f>
        <v/>
      </c>
      <c r="AB36" s="4" t="str">
        <f>IF(AND('1. Mapa de Riesgos'!$AA$14="Baja",'1. Mapa de Riesgos'!$AC$14="Mayor"),CONCATENATE("R1C",'1. Mapa de Riesgos'!$Q$14),"")</f>
        <v/>
      </c>
      <c r="AC36" s="5" t="str">
        <f>IF(AND('1. Mapa de Riesgos'!$AA$15="Baja",'1. Mapa de Riesgos'!$AC$15="Mayor"),CONCATENATE("R1C",'1. Mapa de Riesgos'!$Q$15),"")</f>
        <v/>
      </c>
      <c r="AD36" s="5" t="str">
        <f>IF(AND('1. Mapa de Riesgos'!$AA$16="Baja",'1. Mapa de Riesgos'!$AC$16="Mayor"),CONCATENATE("R1C",'1. Mapa de Riesgos'!$Q$16),"")</f>
        <v/>
      </c>
      <c r="AE36" s="5" t="str">
        <f>IF(AND('1. Mapa de Riesgos'!$AA$17="Baja",'1. Mapa de Riesgos'!$AC$17="Mayor"),CONCATENATE("R1C",'1. Mapa de Riesgos'!$Q$17),"")</f>
        <v/>
      </c>
      <c r="AF36" s="5" t="str">
        <f>IF(AND('1. Mapa de Riesgos'!$AA$18="Baja",'1. Mapa de Riesgos'!$AC$18="Mayor"),CONCATENATE("R1C",'1. Mapa de Riesgos'!$Q$18),"")</f>
        <v/>
      </c>
      <c r="AG36" s="6" t="str">
        <f>IF(AND('1. Mapa de Riesgos'!$AA$19="Baja",'1. Mapa de Riesgos'!$AC$19="Mayor"),CONCATENATE("R1C",'1. Mapa de Riesgos'!$Q$19),"")</f>
        <v/>
      </c>
      <c r="AH36" s="7" t="str">
        <f>IF(AND('1. Mapa de Riesgos'!$AA$14="Baja",'1. Mapa de Riesgos'!$AC$14="Catastrófico"),CONCATENATE("R1C",'1. Mapa de Riesgos'!$Q$14),"")</f>
        <v/>
      </c>
      <c r="AI36" s="8" t="str">
        <f>IF(AND('1. Mapa de Riesgos'!$AA$15="Baja",'1. Mapa de Riesgos'!$AC$15="Catastrófico"),CONCATENATE("R1C",'1. Mapa de Riesgos'!$Q$15),"")</f>
        <v/>
      </c>
      <c r="AJ36" s="8" t="str">
        <f>IF(AND('1. Mapa de Riesgos'!$AA$16="Baja",'1. Mapa de Riesgos'!$AC$16="Catastrófico"),CONCATENATE("R1C",'1. Mapa de Riesgos'!$Q$16),"")</f>
        <v/>
      </c>
      <c r="AK36" s="8" t="str">
        <f>IF(AND('1. Mapa de Riesgos'!$AA$17="Baja",'1. Mapa de Riesgos'!$AC$17="Catastrófico"),CONCATENATE("R1C",'1. Mapa de Riesgos'!$Q$17),"")</f>
        <v/>
      </c>
      <c r="AL36" s="8" t="str">
        <f>IF(AND('1. Mapa de Riesgos'!$AA$18="Baja",'1. Mapa de Riesgos'!$AC$18="Catastrófico"),CONCATENATE("R1C",'1. Mapa de Riesgos'!$Q$18),"")</f>
        <v/>
      </c>
      <c r="AM36" s="9" t="str">
        <f>IF(AND('1. Mapa de Riesgos'!$AA$19="Baja",'1. Mapa de Riesgos'!$AC$19="Catastrófico"),CONCATENATE("R1C",'1. Mapa de Riesgos'!$Q$19),"")</f>
        <v/>
      </c>
      <c r="AN36" s="41"/>
      <c r="AO36" s="543" t="s">
        <v>118</v>
      </c>
      <c r="AP36" s="544"/>
      <c r="AQ36" s="544"/>
      <c r="AR36" s="544"/>
      <c r="AS36" s="544"/>
      <c r="AT36" s="545"/>
      <c r="AU36" s="41"/>
      <c r="AV36" s="41"/>
      <c r="AW36" s="41"/>
      <c r="AX36" s="41"/>
      <c r="AY36" s="41"/>
      <c r="AZ36" s="41"/>
      <c r="BA36" s="41"/>
      <c r="BB36" s="41"/>
      <c r="BC36" s="41"/>
      <c r="BD36" s="41"/>
      <c r="BE36" s="41"/>
      <c r="BF36" s="41"/>
      <c r="BG36" s="41"/>
      <c r="BH36" s="41"/>
      <c r="BI36" s="41"/>
      <c r="BJ36" s="41"/>
      <c r="BK36" s="41"/>
      <c r="BL36" s="41"/>
      <c r="BM36" s="41"/>
      <c r="BN36" s="41"/>
      <c r="BO36" s="41"/>
      <c r="BP36" s="41"/>
      <c r="BQ36" s="41"/>
      <c r="BR36" s="41"/>
      <c r="BS36" s="41"/>
      <c r="BT36" s="41"/>
      <c r="BU36" s="41"/>
      <c r="BV36" s="41"/>
      <c r="BW36" s="41"/>
      <c r="BX36" s="41"/>
    </row>
    <row r="37" spans="1:80" ht="15" customHeight="1" x14ac:dyDescent="0.25">
      <c r="A37" s="41"/>
      <c r="B37" s="474"/>
      <c r="C37" s="474"/>
      <c r="D37" s="475"/>
      <c r="E37" s="531"/>
      <c r="F37" s="516"/>
      <c r="G37" s="516"/>
      <c r="H37" s="516"/>
      <c r="I37" s="516"/>
      <c r="J37" s="34" t="str">
        <f>IF(AND('1. Mapa de Riesgos'!$AA$32="Baja",'1. Mapa de Riesgos'!$AC$32="Leve"),CONCATENATE("R2C",'1. Mapa de Riesgos'!$Q$32),"")</f>
        <v/>
      </c>
      <c r="K37" s="35" t="str">
        <f>IF(AND('1. Mapa de Riesgos'!$AA$33="Baja",'1. Mapa de Riesgos'!$AC$33="Leve"),CONCATENATE("R2C",'1. Mapa de Riesgos'!$Q$33),"")</f>
        <v/>
      </c>
      <c r="L37" s="35" t="str">
        <f>IF(AND('1. Mapa de Riesgos'!$AA$34="Baja",'1. Mapa de Riesgos'!$AC$34="Leve"),CONCATENATE("R2C",'1. Mapa de Riesgos'!$Q$34),"")</f>
        <v/>
      </c>
      <c r="M37" s="35" t="str">
        <f>IF(AND('1. Mapa de Riesgos'!$AA$35="Baja",'1. Mapa de Riesgos'!$AC$35="Leve"),CONCATENATE("R2C",'1. Mapa de Riesgos'!$Q$35),"")</f>
        <v/>
      </c>
      <c r="N37" s="35" t="str">
        <f>IF(AND('1. Mapa de Riesgos'!$AA$36="Baja",'1. Mapa de Riesgos'!$AC$36="Leve"),CONCATENATE("R2C",'1. Mapa de Riesgos'!$Q$36),"")</f>
        <v/>
      </c>
      <c r="O37" s="36" t="str">
        <f>IF(AND('1. Mapa de Riesgos'!$AA$37="Baja",'1. Mapa de Riesgos'!$AC$37="Leve"),CONCATENATE("R2C",'1. Mapa de Riesgos'!$Q$37),"")</f>
        <v/>
      </c>
      <c r="P37" s="25" t="str">
        <f>IF(AND('1. Mapa de Riesgos'!$AA$32="Baja",'1. Mapa de Riesgos'!$AC$32="Menor"),CONCATENATE("R2C",'1. Mapa de Riesgos'!$Q$32),"")</f>
        <v/>
      </c>
      <c r="Q37" s="26" t="str">
        <f>IF(AND('1. Mapa de Riesgos'!$AA$33="Baja",'1. Mapa de Riesgos'!$AC$33="Menor"),CONCATENATE("R2C",'1. Mapa de Riesgos'!$Q$33),"")</f>
        <v/>
      </c>
      <c r="R37" s="26" t="str">
        <f>IF(AND('1. Mapa de Riesgos'!$AA$34="Baja",'1. Mapa de Riesgos'!$AC$34="Menor"),CONCATENATE("R2C",'1. Mapa de Riesgos'!$Q$34),"")</f>
        <v/>
      </c>
      <c r="S37" s="26" t="str">
        <f>IF(AND('1. Mapa de Riesgos'!$AA$35="Baja",'1. Mapa de Riesgos'!$AC$35="Menor"),CONCATENATE("R2C",'1. Mapa de Riesgos'!$Q$35),"")</f>
        <v/>
      </c>
      <c r="T37" s="26" t="str">
        <f>IF(AND('1. Mapa de Riesgos'!$AA$36="Baja",'1. Mapa de Riesgos'!$AC$36="Menor"),CONCATENATE("R2C",'1. Mapa de Riesgos'!$Q$36),"")</f>
        <v/>
      </c>
      <c r="U37" s="27" t="str">
        <f>IF(AND('1. Mapa de Riesgos'!$AA$37="Baja",'1. Mapa de Riesgos'!$AC$37="Menor"),CONCATENATE("R2C",'1. Mapa de Riesgos'!$Q$37),"")</f>
        <v/>
      </c>
      <c r="V37" s="25" t="str">
        <f>IF(AND('1. Mapa de Riesgos'!$AA$32="Baja",'1. Mapa de Riesgos'!$AC$32="Moderado"),CONCATENATE("R2C",'1. Mapa de Riesgos'!$Q$32),"")</f>
        <v/>
      </c>
      <c r="W37" s="26" t="str">
        <f>IF(AND('1. Mapa de Riesgos'!$AA$33="Baja",'1. Mapa de Riesgos'!$AC$33="Moderado"),CONCATENATE("R2C",'1. Mapa de Riesgos'!$Q$33),"")</f>
        <v/>
      </c>
      <c r="X37" s="26" t="str">
        <f>IF(AND('1. Mapa de Riesgos'!$AA$34="Baja",'1. Mapa de Riesgos'!$AC$34="Moderado"),CONCATENATE("R2C",'1. Mapa de Riesgos'!$Q$34),"")</f>
        <v/>
      </c>
      <c r="Y37" s="26" t="str">
        <f>IF(AND('1. Mapa de Riesgos'!$AA$35="Baja",'1. Mapa de Riesgos'!$AC$35="Moderado"),CONCATENATE("R2C",'1. Mapa de Riesgos'!$Q$35),"")</f>
        <v/>
      </c>
      <c r="Z37" s="26" t="str">
        <f>IF(AND('1. Mapa de Riesgos'!$AA$36="Baja",'1. Mapa de Riesgos'!$AC$36="Moderado"),CONCATENATE("R2C",'1. Mapa de Riesgos'!$Q$36),"")</f>
        <v/>
      </c>
      <c r="AA37" s="27" t="str">
        <f>IF(AND('1. Mapa de Riesgos'!$AA$37="Baja",'1. Mapa de Riesgos'!$AC$37="Moderado"),CONCATENATE("R2C",'1. Mapa de Riesgos'!$Q$37),"")</f>
        <v/>
      </c>
      <c r="AB37" s="10" t="str">
        <f>IF(AND('1. Mapa de Riesgos'!$AA$32="Baja",'1. Mapa de Riesgos'!$AC$32="Mayor"),CONCATENATE("R2C",'1. Mapa de Riesgos'!$Q$32),"")</f>
        <v/>
      </c>
      <c r="AC37" s="11" t="str">
        <f>IF(AND('1. Mapa de Riesgos'!$AA$33="Baja",'1. Mapa de Riesgos'!$AC$33="Mayor"),CONCATENATE("R2C",'1. Mapa de Riesgos'!$Q$33),"")</f>
        <v/>
      </c>
      <c r="AD37" s="11" t="str">
        <f>IF(AND('1. Mapa de Riesgos'!$AA$34="Baja",'1. Mapa de Riesgos'!$AC$34="Mayor"),CONCATENATE("R2C",'1. Mapa de Riesgos'!$Q$34),"")</f>
        <v/>
      </c>
      <c r="AE37" s="11" t="str">
        <f>IF(AND('1. Mapa de Riesgos'!$AA$35="Baja",'1. Mapa de Riesgos'!$AC$35="Mayor"),CONCATENATE("R2C",'1. Mapa de Riesgos'!$Q$35),"")</f>
        <v/>
      </c>
      <c r="AF37" s="11" t="str">
        <f>IF(AND('1. Mapa de Riesgos'!$AA$36="Baja",'1. Mapa de Riesgos'!$AC$36="Mayor"),CONCATENATE("R2C",'1. Mapa de Riesgos'!$Q$36),"")</f>
        <v/>
      </c>
      <c r="AG37" s="12" t="str">
        <f>IF(AND('1. Mapa de Riesgos'!$AA$37="Baja",'1. Mapa de Riesgos'!$AC$37="Mayor"),CONCATENATE("R2C",'1. Mapa de Riesgos'!$Q$37),"")</f>
        <v/>
      </c>
      <c r="AH37" s="13" t="str">
        <f>IF(AND('1. Mapa de Riesgos'!$AA$32="Baja",'1. Mapa de Riesgos'!$AC$32="Catastrófico"),CONCATENATE("R2C",'1. Mapa de Riesgos'!$Q$32),"")</f>
        <v/>
      </c>
      <c r="AI37" s="14" t="str">
        <f>IF(AND('1. Mapa de Riesgos'!$AA$33="Baja",'1. Mapa de Riesgos'!$AC$33="Catastrófico"),CONCATENATE("R2C",'1. Mapa de Riesgos'!$Q$33),"")</f>
        <v/>
      </c>
      <c r="AJ37" s="14" t="str">
        <f>IF(AND('1. Mapa de Riesgos'!$AA$34="Baja",'1. Mapa de Riesgos'!$AC$34="Catastrófico"),CONCATENATE("R2C",'1. Mapa de Riesgos'!$Q$34),"")</f>
        <v/>
      </c>
      <c r="AK37" s="14" t="str">
        <f>IF(AND('1. Mapa de Riesgos'!$AA$35="Baja",'1. Mapa de Riesgos'!$AC$35="Catastrófico"),CONCATENATE("R2C",'1. Mapa de Riesgos'!$Q$35),"")</f>
        <v/>
      </c>
      <c r="AL37" s="14" t="str">
        <f>IF(AND('1. Mapa de Riesgos'!$AA$36="Baja",'1. Mapa de Riesgos'!$AC$36="Catastrófico"),CONCATENATE("R2C",'1. Mapa de Riesgos'!$Q$36),"")</f>
        <v/>
      </c>
      <c r="AM37" s="15" t="str">
        <f>IF(AND('1. Mapa de Riesgos'!$AA$37="Baja",'1. Mapa de Riesgos'!$AC$37="Catastrófico"),CONCATENATE("R2C",'1. Mapa de Riesgos'!$Q$37),"")</f>
        <v/>
      </c>
      <c r="AN37" s="41"/>
      <c r="AO37" s="546"/>
      <c r="AP37" s="547"/>
      <c r="AQ37" s="547"/>
      <c r="AR37" s="547"/>
      <c r="AS37" s="547"/>
      <c r="AT37" s="548"/>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row>
    <row r="38" spans="1:80" ht="15" customHeight="1" x14ac:dyDescent="0.25">
      <c r="A38" s="41"/>
      <c r="B38" s="474"/>
      <c r="C38" s="474"/>
      <c r="D38" s="475"/>
      <c r="E38" s="515"/>
      <c r="F38" s="516"/>
      <c r="G38" s="516"/>
      <c r="H38" s="516"/>
      <c r="I38" s="516"/>
      <c r="J38" s="34" t="str">
        <f>IF(AND('1. Mapa de Riesgos'!$AA$38="Baja",'1. Mapa de Riesgos'!$AC$38="Leve"),CONCATENATE("R3C",'1. Mapa de Riesgos'!$Q$38),"")</f>
        <v/>
      </c>
      <c r="K38" s="35" t="str">
        <f>IF(AND('1. Mapa de Riesgos'!$AA$39="Baja",'1. Mapa de Riesgos'!$AC$39="Leve"),CONCATENATE("R3C",'1. Mapa de Riesgos'!$Q$39),"")</f>
        <v/>
      </c>
      <c r="L38" s="35" t="str">
        <f>IF(AND('1. Mapa de Riesgos'!$AA$40="Baja",'1. Mapa de Riesgos'!$AC$40="Leve"),CONCATENATE("R3C",'1. Mapa de Riesgos'!$Q$40),"")</f>
        <v/>
      </c>
      <c r="M38" s="35" t="str">
        <f>IF(AND('1. Mapa de Riesgos'!$AA$41="Baja",'1. Mapa de Riesgos'!$AC$41="Leve"),CONCATENATE("R3C",'1. Mapa de Riesgos'!$Q$41),"")</f>
        <v/>
      </c>
      <c r="N38" s="35" t="str">
        <f>IF(AND('1. Mapa de Riesgos'!$AA$42="Baja",'1. Mapa de Riesgos'!$AC$42="Leve"),CONCATENATE("R3C",'1. Mapa de Riesgos'!$Q$42),"")</f>
        <v/>
      </c>
      <c r="O38" s="36" t="str">
        <f>IF(AND('1. Mapa de Riesgos'!$AA$43="Baja",'1. Mapa de Riesgos'!$AC$43="Leve"),CONCATENATE("R3C",'1. Mapa de Riesgos'!$Q$43),"")</f>
        <v/>
      </c>
      <c r="P38" s="25" t="str">
        <f>IF(AND('1. Mapa de Riesgos'!$AA$38="Baja",'1. Mapa de Riesgos'!$AC$38="Menor"),CONCATENATE("R3C",'1. Mapa de Riesgos'!$Q$38),"")</f>
        <v/>
      </c>
      <c r="Q38" s="26" t="str">
        <f>IF(AND('1. Mapa de Riesgos'!$AA$39="Baja",'1. Mapa de Riesgos'!$AC$39="Menor"),CONCATENATE("R3C",'1. Mapa de Riesgos'!$Q$39),"")</f>
        <v/>
      </c>
      <c r="R38" s="26" t="str">
        <f>IF(AND('1. Mapa de Riesgos'!$AA$40="Baja",'1. Mapa de Riesgos'!$AC$40="Menor"),CONCATENATE("R3C",'1. Mapa de Riesgos'!$Q$40),"")</f>
        <v/>
      </c>
      <c r="S38" s="26" t="str">
        <f>IF(AND('1. Mapa de Riesgos'!$AA$41="Baja",'1. Mapa de Riesgos'!$AC$41="Menor"),CONCATENATE("R3C",'1. Mapa de Riesgos'!$Q$41),"")</f>
        <v/>
      </c>
      <c r="T38" s="26" t="str">
        <f>IF(AND('1. Mapa de Riesgos'!$AA$42="Baja",'1. Mapa de Riesgos'!$AC$42="Menor"),CONCATENATE("R3C",'1. Mapa de Riesgos'!$Q$42),"")</f>
        <v/>
      </c>
      <c r="U38" s="27" t="str">
        <f>IF(AND('1. Mapa de Riesgos'!$AA$43="Baja",'1. Mapa de Riesgos'!$AC$43="Menor"),CONCATENATE("R3C",'1. Mapa de Riesgos'!$Q$43),"")</f>
        <v/>
      </c>
      <c r="V38" s="25" t="str">
        <f>IF(AND('1. Mapa de Riesgos'!$AA$38="Baja",'1. Mapa de Riesgos'!$AC$38="Moderado"),CONCATENATE("R3C",'1. Mapa de Riesgos'!$Q$38),"")</f>
        <v/>
      </c>
      <c r="W38" s="26" t="str">
        <f>IF(AND('1. Mapa de Riesgos'!$AA$39="Baja",'1. Mapa de Riesgos'!$AC$39="Moderado"),CONCATENATE("R3C",'1. Mapa de Riesgos'!$Q$39),"")</f>
        <v/>
      </c>
      <c r="X38" s="26" t="str">
        <f>IF(AND('1. Mapa de Riesgos'!$AA$40="Baja",'1. Mapa de Riesgos'!$AC$40="Moderado"),CONCATENATE("R3C",'1. Mapa de Riesgos'!$Q$40),"")</f>
        <v/>
      </c>
      <c r="Y38" s="26" t="str">
        <f>IF(AND('1. Mapa de Riesgos'!$AA$41="Baja",'1. Mapa de Riesgos'!$AC$41="Moderado"),CONCATENATE("R3C",'1. Mapa de Riesgos'!$Q$41),"")</f>
        <v/>
      </c>
      <c r="Z38" s="26" t="str">
        <f>IF(AND('1. Mapa de Riesgos'!$AA$42="Baja",'1. Mapa de Riesgos'!$AC$42="Moderado"),CONCATENATE("R3C",'1. Mapa de Riesgos'!$Q$42),"")</f>
        <v/>
      </c>
      <c r="AA38" s="27" t="str">
        <f>IF(AND('1. Mapa de Riesgos'!$AA$43="Baja",'1. Mapa de Riesgos'!$AC$43="Moderado"),CONCATENATE("R3C",'1. Mapa de Riesgos'!$Q$43),"")</f>
        <v/>
      </c>
      <c r="AB38" s="10" t="str">
        <f>IF(AND('1. Mapa de Riesgos'!$AA$38="Baja",'1. Mapa de Riesgos'!$AC$38="Mayor"),CONCATENATE("R3C",'1. Mapa de Riesgos'!$Q$38),"")</f>
        <v/>
      </c>
      <c r="AC38" s="11" t="str">
        <f>IF(AND('1. Mapa de Riesgos'!$AA$39="Baja",'1. Mapa de Riesgos'!$AC$39="Mayor"),CONCATENATE("R3C",'1. Mapa de Riesgos'!$Q$39),"")</f>
        <v/>
      </c>
      <c r="AD38" s="11" t="str">
        <f>IF(AND('1. Mapa de Riesgos'!$AA$40="Baja",'1. Mapa de Riesgos'!$AC$40="Mayor"),CONCATENATE("R3C",'1. Mapa de Riesgos'!$Q$40),"")</f>
        <v/>
      </c>
      <c r="AE38" s="11" t="str">
        <f>IF(AND('1. Mapa de Riesgos'!$AA$41="Baja",'1. Mapa de Riesgos'!$AC$41="Mayor"),CONCATENATE("R3C",'1. Mapa de Riesgos'!$Q$41),"")</f>
        <v/>
      </c>
      <c r="AF38" s="11" t="str">
        <f>IF(AND('1. Mapa de Riesgos'!$AA$42="Baja",'1. Mapa de Riesgos'!$AC$42="Mayor"),CONCATENATE("R3C",'1. Mapa de Riesgos'!$Q$42),"")</f>
        <v/>
      </c>
      <c r="AG38" s="12" t="str">
        <f>IF(AND('1. Mapa de Riesgos'!$AA$43="Baja",'1. Mapa de Riesgos'!$AC$43="Mayor"),CONCATENATE("R3C",'1. Mapa de Riesgos'!$Q$43),"")</f>
        <v/>
      </c>
      <c r="AH38" s="13" t="str">
        <f>IF(AND('1. Mapa de Riesgos'!$AA$38="Baja",'1. Mapa de Riesgos'!$AC$38="Catastrófico"),CONCATENATE("R3C",'1. Mapa de Riesgos'!$Q$38),"")</f>
        <v/>
      </c>
      <c r="AI38" s="14" t="str">
        <f>IF(AND('1. Mapa de Riesgos'!$AA$39="Baja",'1. Mapa de Riesgos'!$AC$39="Catastrófico"),CONCATENATE("R3C",'1. Mapa de Riesgos'!$Q$39),"")</f>
        <v/>
      </c>
      <c r="AJ38" s="14" t="str">
        <f>IF(AND('1. Mapa de Riesgos'!$AA$40="Baja",'1. Mapa de Riesgos'!$AC$40="Catastrófico"),CONCATENATE("R3C",'1. Mapa de Riesgos'!$Q$40),"")</f>
        <v/>
      </c>
      <c r="AK38" s="14" t="str">
        <f>IF(AND('1. Mapa de Riesgos'!$AA$41="Baja",'1. Mapa de Riesgos'!$AC$41="Catastrófico"),CONCATENATE("R3C",'1. Mapa de Riesgos'!$Q$41),"")</f>
        <v/>
      </c>
      <c r="AL38" s="14" t="str">
        <f>IF(AND('1. Mapa de Riesgos'!$AA$42="Baja",'1. Mapa de Riesgos'!$AC$42="Catastrófico"),CONCATENATE("R3C",'1. Mapa de Riesgos'!$Q$42),"")</f>
        <v/>
      </c>
      <c r="AM38" s="15" t="str">
        <f>IF(AND('1. Mapa de Riesgos'!$AA$43="Baja",'1. Mapa de Riesgos'!$AC$43="Catastrófico"),CONCATENATE("R3C",'1. Mapa de Riesgos'!$Q$43),"")</f>
        <v/>
      </c>
      <c r="AN38" s="41"/>
      <c r="AO38" s="546"/>
      <c r="AP38" s="547"/>
      <c r="AQ38" s="547"/>
      <c r="AR38" s="547"/>
      <c r="AS38" s="547"/>
      <c r="AT38" s="548"/>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41"/>
    </row>
    <row r="39" spans="1:80" ht="15" customHeight="1" x14ac:dyDescent="0.25">
      <c r="A39" s="41"/>
      <c r="B39" s="474"/>
      <c r="C39" s="474"/>
      <c r="D39" s="475"/>
      <c r="E39" s="515"/>
      <c r="F39" s="516"/>
      <c r="G39" s="516"/>
      <c r="H39" s="516"/>
      <c r="I39" s="516"/>
      <c r="J39" s="34" t="str">
        <f>IF(AND('1. Mapa de Riesgos'!$AA$50="Baja",'1. Mapa de Riesgos'!$AC$50="Leve"),CONCATENATE("R4C",'1. Mapa de Riesgos'!$Q$50),"")</f>
        <v/>
      </c>
      <c r="K39" s="35" t="str">
        <f>IF(AND('1. Mapa de Riesgos'!$AA$51="Baja",'1. Mapa de Riesgos'!$AC$51="Leve"),CONCATENATE("R4C",'1. Mapa de Riesgos'!$Q$51),"")</f>
        <v/>
      </c>
      <c r="L39" s="35" t="str">
        <f>IF(AND('1. Mapa de Riesgos'!$AA$52="Baja",'1. Mapa de Riesgos'!$AC$52="Leve"),CONCATENATE("R4C",'1. Mapa de Riesgos'!$Q$52),"")</f>
        <v/>
      </c>
      <c r="M39" s="35" t="str">
        <f>IF(AND('1. Mapa de Riesgos'!$AA$53="Baja",'1. Mapa de Riesgos'!$AC$53="Leve"),CONCATENATE("R4C",'1. Mapa de Riesgos'!$Q$53),"")</f>
        <v/>
      </c>
      <c r="N39" s="35" t="str">
        <f>IF(AND('1. Mapa de Riesgos'!$AA$54="Baja",'1. Mapa de Riesgos'!$AC$54="Leve"),CONCATENATE("R4C",'1. Mapa de Riesgos'!$Q$54),"")</f>
        <v/>
      </c>
      <c r="O39" s="36" t="str">
        <f>IF(AND('1. Mapa de Riesgos'!$AA$55="Baja",'1. Mapa de Riesgos'!$AC$55="Leve"),CONCATENATE("R4C",'1. Mapa de Riesgos'!$Q$55),"")</f>
        <v/>
      </c>
      <c r="P39" s="25" t="str">
        <f>IF(AND('1. Mapa de Riesgos'!$AA$50="Baja",'1. Mapa de Riesgos'!$AC$50="Menor"),CONCATENATE("R4C",'1. Mapa de Riesgos'!$Q$50),"")</f>
        <v/>
      </c>
      <c r="Q39" s="26" t="str">
        <f>IF(AND('1. Mapa de Riesgos'!$AA$51="Baja",'1. Mapa de Riesgos'!$AC$51="Menor"),CONCATENATE("R4C",'1. Mapa de Riesgos'!$Q$51),"")</f>
        <v/>
      </c>
      <c r="R39" s="26" t="str">
        <f>IF(AND('1. Mapa de Riesgos'!$AA$52="Baja",'1. Mapa de Riesgos'!$AC$52="Menor"),CONCATENATE("R4C",'1. Mapa de Riesgos'!$Q$52),"")</f>
        <v/>
      </c>
      <c r="S39" s="26" t="str">
        <f>IF(AND('1. Mapa de Riesgos'!$AA$53="Baja",'1. Mapa de Riesgos'!$AC$53="Menor"),CONCATENATE("R4C",'1. Mapa de Riesgos'!$Q$53),"")</f>
        <v/>
      </c>
      <c r="T39" s="26" t="str">
        <f>IF(AND('1. Mapa de Riesgos'!$AA$54="Baja",'1. Mapa de Riesgos'!$AC$54="Menor"),CONCATENATE("R4C",'1. Mapa de Riesgos'!$Q$54),"")</f>
        <v/>
      </c>
      <c r="U39" s="27" t="str">
        <f>IF(AND('1. Mapa de Riesgos'!$AA$55="Baja",'1. Mapa de Riesgos'!$AC$55="Menor"),CONCATENATE("R4C",'1. Mapa de Riesgos'!$Q$55),"")</f>
        <v/>
      </c>
      <c r="V39" s="25" t="str">
        <f>IF(AND('1. Mapa de Riesgos'!$AA$50="Baja",'1. Mapa de Riesgos'!$AC$50="Moderado"),CONCATENATE("R4C",'1. Mapa de Riesgos'!$Q$50),"")</f>
        <v/>
      </c>
      <c r="W39" s="26" t="str">
        <f>IF(AND('1. Mapa de Riesgos'!$AA$51="Baja",'1. Mapa de Riesgos'!$AC$51="Moderado"),CONCATENATE("R4C",'1. Mapa de Riesgos'!$Q$51),"")</f>
        <v/>
      </c>
      <c r="X39" s="26" t="str">
        <f>IF(AND('1. Mapa de Riesgos'!$AA$52="Baja",'1. Mapa de Riesgos'!$AC$52="Moderado"),CONCATENATE("R4C",'1. Mapa de Riesgos'!$Q$52),"")</f>
        <v/>
      </c>
      <c r="Y39" s="26" t="str">
        <f>IF(AND('1. Mapa de Riesgos'!$AA$53="Baja",'1. Mapa de Riesgos'!$AC$53="Moderado"),CONCATENATE("R4C",'1. Mapa de Riesgos'!$Q$53),"")</f>
        <v/>
      </c>
      <c r="Z39" s="26" t="str">
        <f>IF(AND('1. Mapa de Riesgos'!$AA$54="Baja",'1. Mapa de Riesgos'!$AC$54="Moderado"),CONCATENATE("R4C",'1. Mapa de Riesgos'!$Q$54),"")</f>
        <v/>
      </c>
      <c r="AA39" s="27" t="str">
        <f>IF(AND('1. Mapa de Riesgos'!$AA$55="Baja",'1. Mapa de Riesgos'!$AC$55="Moderado"),CONCATENATE("R4C",'1. Mapa de Riesgos'!$Q$55),"")</f>
        <v/>
      </c>
      <c r="AB39" s="10" t="str">
        <f>IF(AND('1. Mapa de Riesgos'!$AA$50="Baja",'1. Mapa de Riesgos'!$AC$50="Mayor"),CONCATENATE("R4C",'1. Mapa de Riesgos'!$Q$50),"")</f>
        <v/>
      </c>
      <c r="AC39" s="11" t="str">
        <f>IF(AND('1. Mapa de Riesgos'!$AA$51="Baja",'1. Mapa de Riesgos'!$AC$51="Mayor"),CONCATENATE("R4C",'1. Mapa de Riesgos'!$Q$51),"")</f>
        <v/>
      </c>
      <c r="AD39" s="11" t="str">
        <f>IF(AND('1. Mapa de Riesgos'!$AA$52="Baja",'1. Mapa de Riesgos'!$AC$52="Mayor"),CONCATENATE("R4C",'1. Mapa de Riesgos'!$Q$52),"")</f>
        <v/>
      </c>
      <c r="AE39" s="11" t="str">
        <f>IF(AND('1. Mapa de Riesgos'!$AA$53="Baja",'1. Mapa de Riesgos'!$AC$53="Mayor"),CONCATENATE("R4C",'1. Mapa de Riesgos'!$Q$53),"")</f>
        <v/>
      </c>
      <c r="AF39" s="11" t="str">
        <f>IF(AND('1. Mapa de Riesgos'!$AA$54="Baja",'1. Mapa de Riesgos'!$AC$54="Mayor"),CONCATENATE("R4C",'1. Mapa de Riesgos'!$Q$54),"")</f>
        <v/>
      </c>
      <c r="AG39" s="12" t="str">
        <f>IF(AND('1. Mapa de Riesgos'!$AA$55="Baja",'1. Mapa de Riesgos'!$AC$55="Mayor"),CONCATENATE("R4C",'1. Mapa de Riesgos'!$Q$55),"")</f>
        <v/>
      </c>
      <c r="AH39" s="13" t="str">
        <f>IF(AND('1. Mapa de Riesgos'!$AA$50="Baja",'1. Mapa de Riesgos'!$AC$50="Catastrófico"),CONCATENATE("R4C",'1. Mapa de Riesgos'!$Q$50),"")</f>
        <v/>
      </c>
      <c r="AI39" s="14" t="str">
        <f>IF(AND('1. Mapa de Riesgos'!$AA$51="Baja",'1. Mapa de Riesgos'!$AC$51="Catastrófico"),CONCATENATE("R4C",'1. Mapa de Riesgos'!$Q$51),"")</f>
        <v/>
      </c>
      <c r="AJ39" s="14" t="str">
        <f>IF(AND('1. Mapa de Riesgos'!$AA$52="Baja",'1. Mapa de Riesgos'!$AC$52="Catastrófico"),CONCATENATE("R4C",'1. Mapa de Riesgos'!$Q$52),"")</f>
        <v/>
      </c>
      <c r="AK39" s="14" t="str">
        <f>IF(AND('1. Mapa de Riesgos'!$AA$53="Baja",'1. Mapa de Riesgos'!$AC$53="Catastrófico"),CONCATENATE("R4C",'1. Mapa de Riesgos'!$Q$53),"")</f>
        <v/>
      </c>
      <c r="AL39" s="14" t="str">
        <f>IF(AND('1. Mapa de Riesgos'!$AA$54="Baja",'1. Mapa de Riesgos'!$AC$54="Catastrófico"),CONCATENATE("R4C",'1. Mapa de Riesgos'!$Q$54),"")</f>
        <v/>
      </c>
      <c r="AM39" s="15" t="str">
        <f>IF(AND('1. Mapa de Riesgos'!$AA$55="Baja",'1. Mapa de Riesgos'!$AC$55="Catastrófico"),CONCATENATE("R4C",'1. Mapa de Riesgos'!$Q$55),"")</f>
        <v/>
      </c>
      <c r="AN39" s="41"/>
      <c r="AO39" s="546"/>
      <c r="AP39" s="547"/>
      <c r="AQ39" s="547"/>
      <c r="AR39" s="547"/>
      <c r="AS39" s="547"/>
      <c r="AT39" s="548"/>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BX39" s="41"/>
    </row>
    <row r="40" spans="1:80" ht="15" customHeight="1" x14ac:dyDescent="0.25">
      <c r="A40" s="41"/>
      <c r="B40" s="474"/>
      <c r="C40" s="474"/>
      <c r="D40" s="475"/>
      <c r="E40" s="515"/>
      <c r="F40" s="516"/>
      <c r="G40" s="516"/>
      <c r="H40" s="516"/>
      <c r="I40" s="516"/>
      <c r="J40" s="34" t="e">
        <f>IF(AND('1. Mapa de Riesgos'!#REF!="Baja",'1. Mapa de Riesgos'!#REF!="Leve"),CONCATENATE("R5C",'1. Mapa de Riesgos'!#REF!),"")</f>
        <v>#REF!</v>
      </c>
      <c r="K40" s="35" t="e">
        <f>IF(AND('1. Mapa de Riesgos'!#REF!="Baja",'1. Mapa de Riesgos'!#REF!="Leve"),CONCATENATE("R5C",'1. Mapa de Riesgos'!#REF!),"")</f>
        <v>#REF!</v>
      </c>
      <c r="L40" s="35" t="e">
        <f>IF(AND('1. Mapa de Riesgos'!#REF!="Baja",'1. Mapa de Riesgos'!#REF!="Leve"),CONCATENATE("R5C",'1. Mapa de Riesgos'!#REF!),"")</f>
        <v>#REF!</v>
      </c>
      <c r="M40" s="35" t="e">
        <f>IF(AND('1. Mapa de Riesgos'!#REF!="Baja",'1. Mapa de Riesgos'!#REF!="Leve"),CONCATENATE("R5C",'1. Mapa de Riesgos'!#REF!),"")</f>
        <v>#REF!</v>
      </c>
      <c r="N40" s="35" t="e">
        <f>IF(AND('1. Mapa de Riesgos'!#REF!="Baja",'1. Mapa de Riesgos'!#REF!="Leve"),CONCATENATE("R5C",'1. Mapa de Riesgos'!#REF!),"")</f>
        <v>#REF!</v>
      </c>
      <c r="O40" s="36" t="e">
        <f>IF(AND('1. Mapa de Riesgos'!#REF!="Baja",'1. Mapa de Riesgos'!#REF!="Leve"),CONCATENATE("R5C",'1. Mapa de Riesgos'!#REF!),"")</f>
        <v>#REF!</v>
      </c>
      <c r="P40" s="25" t="e">
        <f>IF(AND('1. Mapa de Riesgos'!#REF!="Baja",'1. Mapa de Riesgos'!#REF!="Menor"),CONCATENATE("R5C",'1. Mapa de Riesgos'!#REF!),"")</f>
        <v>#REF!</v>
      </c>
      <c r="Q40" s="26" t="e">
        <f>IF(AND('1. Mapa de Riesgos'!#REF!="Baja",'1. Mapa de Riesgos'!#REF!="Menor"),CONCATENATE("R5C",'1. Mapa de Riesgos'!#REF!),"")</f>
        <v>#REF!</v>
      </c>
      <c r="R40" s="26" t="e">
        <f>IF(AND('1. Mapa de Riesgos'!#REF!="Baja",'1. Mapa de Riesgos'!#REF!="Menor"),CONCATENATE("R5C",'1. Mapa de Riesgos'!#REF!),"")</f>
        <v>#REF!</v>
      </c>
      <c r="S40" s="26" t="e">
        <f>IF(AND('1. Mapa de Riesgos'!#REF!="Baja",'1. Mapa de Riesgos'!#REF!="Menor"),CONCATENATE("R5C",'1. Mapa de Riesgos'!#REF!),"")</f>
        <v>#REF!</v>
      </c>
      <c r="T40" s="26" t="e">
        <f>IF(AND('1. Mapa de Riesgos'!#REF!="Baja",'1. Mapa de Riesgos'!#REF!="Menor"),CONCATENATE("R5C",'1. Mapa de Riesgos'!#REF!),"")</f>
        <v>#REF!</v>
      </c>
      <c r="U40" s="27" t="e">
        <f>IF(AND('1. Mapa de Riesgos'!#REF!="Baja",'1. Mapa de Riesgos'!#REF!="Menor"),CONCATENATE("R5C",'1. Mapa de Riesgos'!#REF!),"")</f>
        <v>#REF!</v>
      </c>
      <c r="V40" s="25" t="e">
        <f>IF(AND('1. Mapa de Riesgos'!#REF!="Baja",'1. Mapa de Riesgos'!#REF!="Moderado"),CONCATENATE("R5C",'1. Mapa de Riesgos'!#REF!),"")</f>
        <v>#REF!</v>
      </c>
      <c r="W40" s="26" t="e">
        <f>IF(AND('1. Mapa de Riesgos'!#REF!="Baja",'1. Mapa de Riesgos'!#REF!="Moderado"),CONCATENATE("R5C",'1. Mapa de Riesgos'!#REF!),"")</f>
        <v>#REF!</v>
      </c>
      <c r="X40" s="26" t="e">
        <f>IF(AND('1. Mapa de Riesgos'!#REF!="Baja",'1. Mapa de Riesgos'!#REF!="Moderado"),CONCATENATE("R5C",'1. Mapa de Riesgos'!#REF!),"")</f>
        <v>#REF!</v>
      </c>
      <c r="Y40" s="26" t="e">
        <f>IF(AND('1. Mapa de Riesgos'!#REF!="Baja",'1. Mapa de Riesgos'!#REF!="Moderado"),CONCATENATE("R5C",'1. Mapa de Riesgos'!#REF!),"")</f>
        <v>#REF!</v>
      </c>
      <c r="Z40" s="26" t="e">
        <f>IF(AND('1. Mapa de Riesgos'!#REF!="Baja",'1. Mapa de Riesgos'!#REF!="Moderado"),CONCATENATE("R5C",'1. Mapa de Riesgos'!#REF!),"")</f>
        <v>#REF!</v>
      </c>
      <c r="AA40" s="27" t="e">
        <f>IF(AND('1. Mapa de Riesgos'!#REF!="Baja",'1. Mapa de Riesgos'!#REF!="Moderado"),CONCATENATE("R5C",'1. Mapa de Riesgos'!#REF!),"")</f>
        <v>#REF!</v>
      </c>
      <c r="AB40" s="10" t="e">
        <f>IF(AND('1. Mapa de Riesgos'!#REF!="Baja",'1. Mapa de Riesgos'!#REF!="Mayor"),CONCATENATE("R5C",'1. Mapa de Riesgos'!#REF!),"")</f>
        <v>#REF!</v>
      </c>
      <c r="AC40" s="11" t="e">
        <f>IF(AND('1. Mapa de Riesgos'!#REF!="Baja",'1. Mapa de Riesgos'!#REF!="Mayor"),CONCATENATE("R5C",'1. Mapa de Riesgos'!#REF!),"")</f>
        <v>#REF!</v>
      </c>
      <c r="AD40" s="11" t="e">
        <f>IF(AND('1. Mapa de Riesgos'!#REF!="Baja",'1. Mapa de Riesgos'!#REF!="Mayor"),CONCATENATE("R5C",'1. Mapa de Riesgos'!#REF!),"")</f>
        <v>#REF!</v>
      </c>
      <c r="AE40" s="11" t="e">
        <f>IF(AND('1. Mapa de Riesgos'!#REF!="Baja",'1. Mapa de Riesgos'!#REF!="Mayor"),CONCATENATE("R5C",'1. Mapa de Riesgos'!#REF!),"")</f>
        <v>#REF!</v>
      </c>
      <c r="AF40" s="11" t="e">
        <f>IF(AND('1. Mapa de Riesgos'!#REF!="Baja",'1. Mapa de Riesgos'!#REF!="Mayor"),CONCATENATE("R5C",'1. Mapa de Riesgos'!#REF!),"")</f>
        <v>#REF!</v>
      </c>
      <c r="AG40" s="12" t="e">
        <f>IF(AND('1. Mapa de Riesgos'!#REF!="Baja",'1. Mapa de Riesgos'!#REF!="Mayor"),CONCATENATE("R5C",'1. Mapa de Riesgos'!#REF!),"")</f>
        <v>#REF!</v>
      </c>
      <c r="AH40" s="13" t="e">
        <f>IF(AND('1. Mapa de Riesgos'!#REF!="Baja",'1. Mapa de Riesgos'!#REF!="Catastrófico"),CONCATENATE("R5C",'1. Mapa de Riesgos'!#REF!),"")</f>
        <v>#REF!</v>
      </c>
      <c r="AI40" s="14" t="e">
        <f>IF(AND('1. Mapa de Riesgos'!#REF!="Baja",'1. Mapa de Riesgos'!#REF!="Catastrófico"),CONCATENATE("R5C",'1. Mapa de Riesgos'!#REF!),"")</f>
        <v>#REF!</v>
      </c>
      <c r="AJ40" s="14" t="e">
        <f>IF(AND('1. Mapa de Riesgos'!#REF!="Baja",'1. Mapa de Riesgos'!#REF!="Catastrófico"),CONCATENATE("R5C",'1. Mapa de Riesgos'!#REF!),"")</f>
        <v>#REF!</v>
      </c>
      <c r="AK40" s="14" t="e">
        <f>IF(AND('1. Mapa de Riesgos'!#REF!="Baja",'1. Mapa de Riesgos'!#REF!="Catastrófico"),CONCATENATE("R5C",'1. Mapa de Riesgos'!#REF!),"")</f>
        <v>#REF!</v>
      </c>
      <c r="AL40" s="14" t="e">
        <f>IF(AND('1. Mapa de Riesgos'!#REF!="Baja",'1. Mapa de Riesgos'!#REF!="Catastrófico"),CONCATENATE("R5C",'1. Mapa de Riesgos'!#REF!),"")</f>
        <v>#REF!</v>
      </c>
      <c r="AM40" s="15" t="e">
        <f>IF(AND('1. Mapa de Riesgos'!#REF!="Baja",'1. Mapa de Riesgos'!#REF!="Catastrófico"),CONCATENATE("R5C",'1. Mapa de Riesgos'!#REF!),"")</f>
        <v>#REF!</v>
      </c>
      <c r="AN40" s="41"/>
      <c r="AO40" s="546"/>
      <c r="AP40" s="547"/>
      <c r="AQ40" s="547"/>
      <c r="AR40" s="547"/>
      <c r="AS40" s="547"/>
      <c r="AT40" s="548"/>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row>
    <row r="41" spans="1:80" ht="15" customHeight="1" x14ac:dyDescent="0.25">
      <c r="A41" s="41"/>
      <c r="B41" s="474"/>
      <c r="C41" s="474"/>
      <c r="D41" s="475"/>
      <c r="E41" s="515"/>
      <c r="F41" s="516"/>
      <c r="G41" s="516"/>
      <c r="H41" s="516"/>
      <c r="I41" s="516"/>
      <c r="J41" s="34" t="str">
        <f>IF(AND('1. Mapa de Riesgos'!$AA$56="Baja",'1. Mapa de Riesgos'!$AC$56="Leve"),CONCATENATE("R6C",'1. Mapa de Riesgos'!$Q$56),"")</f>
        <v/>
      </c>
      <c r="K41" s="35" t="str">
        <f>IF(AND('1. Mapa de Riesgos'!$AA$57="Baja",'1. Mapa de Riesgos'!$AC$57="Leve"),CONCATENATE("R6C",'1. Mapa de Riesgos'!$Q$57),"")</f>
        <v/>
      </c>
      <c r="L41" s="35" t="str">
        <f>IF(AND('1. Mapa de Riesgos'!$AA$58="Baja",'1. Mapa de Riesgos'!$AC$58="Leve"),CONCATENATE("R6C",'1. Mapa de Riesgos'!$Q$58),"")</f>
        <v/>
      </c>
      <c r="M41" s="35" t="str">
        <f>IF(AND('1. Mapa de Riesgos'!$AA$59="Baja",'1. Mapa de Riesgos'!$AC$59="Leve"),CONCATENATE("R6C",'1. Mapa de Riesgos'!$Q$59),"")</f>
        <v/>
      </c>
      <c r="N41" s="35" t="str">
        <f>IF(AND('1. Mapa de Riesgos'!$AA$60="Baja",'1. Mapa de Riesgos'!$AC$60="Leve"),CONCATENATE("R6C",'1. Mapa de Riesgos'!$Q$60),"")</f>
        <v/>
      </c>
      <c r="O41" s="36" t="str">
        <f>IF(AND('1. Mapa de Riesgos'!$AA$61="Baja",'1. Mapa de Riesgos'!$AC$61="Leve"),CONCATENATE("R6C",'1. Mapa de Riesgos'!$Q$61),"")</f>
        <v/>
      </c>
      <c r="P41" s="25" t="str">
        <f>IF(AND('1. Mapa de Riesgos'!$AA$56="Baja",'1. Mapa de Riesgos'!$AC$56="Menor"),CONCATENATE("R6C",'1. Mapa de Riesgos'!$Q$56),"")</f>
        <v/>
      </c>
      <c r="Q41" s="26" t="str">
        <f>IF(AND('1. Mapa de Riesgos'!$AA$57="Baja",'1. Mapa de Riesgos'!$AC$57="Menor"),CONCATENATE("R6C",'1. Mapa de Riesgos'!$Q$57),"")</f>
        <v/>
      </c>
      <c r="R41" s="26" t="str">
        <f>IF(AND('1. Mapa de Riesgos'!$AA$58="Baja",'1. Mapa de Riesgos'!$AC$58="Menor"),CONCATENATE("R6C",'1. Mapa de Riesgos'!$Q$58),"")</f>
        <v/>
      </c>
      <c r="S41" s="26" t="str">
        <f>IF(AND('1. Mapa de Riesgos'!$AA$59="Baja",'1. Mapa de Riesgos'!$AC$59="Menor"),CONCATENATE("R6C",'1. Mapa de Riesgos'!$Q$59),"")</f>
        <v/>
      </c>
      <c r="T41" s="26" t="str">
        <f>IF(AND('1. Mapa de Riesgos'!$AA$60="Baja",'1. Mapa de Riesgos'!$AC$60="Menor"),CONCATENATE("R6C",'1. Mapa de Riesgos'!$Q$60),"")</f>
        <v/>
      </c>
      <c r="U41" s="27" t="str">
        <f>IF(AND('1. Mapa de Riesgos'!$AA$61="Baja",'1. Mapa de Riesgos'!$AC$61="Menor"),CONCATENATE("R6C",'1. Mapa de Riesgos'!$Q$61),"")</f>
        <v/>
      </c>
      <c r="V41" s="25" t="str">
        <f>IF(AND('1. Mapa de Riesgos'!$AA$56="Baja",'1. Mapa de Riesgos'!$AC$56="Moderado"),CONCATENATE("R6C",'1. Mapa de Riesgos'!$Q$56),"")</f>
        <v/>
      </c>
      <c r="W41" s="26" t="str">
        <f>IF(AND('1. Mapa de Riesgos'!$AA$57="Baja",'1. Mapa de Riesgos'!$AC$57="Moderado"),CONCATENATE("R6C",'1. Mapa de Riesgos'!$Q$57),"")</f>
        <v/>
      </c>
      <c r="X41" s="26" t="str">
        <f>IF(AND('1. Mapa de Riesgos'!$AA$58="Baja",'1. Mapa de Riesgos'!$AC$58="Moderado"),CONCATENATE("R6C",'1. Mapa de Riesgos'!$Q$58),"")</f>
        <v/>
      </c>
      <c r="Y41" s="26" t="str">
        <f>IF(AND('1. Mapa de Riesgos'!$AA$59="Baja",'1. Mapa de Riesgos'!$AC$59="Moderado"),CONCATENATE("R6C",'1. Mapa de Riesgos'!$Q$59),"")</f>
        <v/>
      </c>
      <c r="Z41" s="26" t="str">
        <f>IF(AND('1. Mapa de Riesgos'!$AA$60="Baja",'1. Mapa de Riesgos'!$AC$60="Moderado"),CONCATENATE("R6C",'1. Mapa de Riesgos'!$Q$60),"")</f>
        <v/>
      </c>
      <c r="AA41" s="27" t="str">
        <f>IF(AND('1. Mapa de Riesgos'!$AA$61="Baja",'1. Mapa de Riesgos'!$AC$61="Moderado"),CONCATENATE("R6C",'1. Mapa de Riesgos'!$Q$61),"")</f>
        <v/>
      </c>
      <c r="AB41" s="10" t="str">
        <f>IF(AND('1. Mapa de Riesgos'!$AA$56="Baja",'1. Mapa de Riesgos'!$AC$56="Mayor"),CONCATENATE("R6C",'1. Mapa de Riesgos'!$Q$56),"")</f>
        <v/>
      </c>
      <c r="AC41" s="11" t="str">
        <f>IF(AND('1. Mapa de Riesgos'!$AA$57="Baja",'1. Mapa de Riesgos'!$AC$57="Mayor"),CONCATENATE("R6C",'1. Mapa de Riesgos'!$Q$57),"")</f>
        <v/>
      </c>
      <c r="AD41" s="11" t="str">
        <f>IF(AND('1. Mapa de Riesgos'!$AA$58="Baja",'1. Mapa de Riesgos'!$AC$58="Mayor"),CONCATENATE("R6C",'1. Mapa de Riesgos'!$Q$58),"")</f>
        <v/>
      </c>
      <c r="AE41" s="11" t="str">
        <f>IF(AND('1. Mapa de Riesgos'!$AA$59="Baja",'1. Mapa de Riesgos'!$AC$59="Mayor"),CONCATENATE("R6C",'1. Mapa de Riesgos'!$Q$59),"")</f>
        <v/>
      </c>
      <c r="AF41" s="11" t="str">
        <f>IF(AND('1. Mapa de Riesgos'!$AA$60="Baja",'1. Mapa de Riesgos'!$AC$60="Mayor"),CONCATENATE("R6C",'1. Mapa de Riesgos'!$Q$60),"")</f>
        <v/>
      </c>
      <c r="AG41" s="12" t="str">
        <f>IF(AND('1. Mapa de Riesgos'!$AA$61="Baja",'1. Mapa de Riesgos'!$AC$61="Mayor"),CONCATENATE("R6C",'1. Mapa de Riesgos'!$Q$61),"")</f>
        <v/>
      </c>
      <c r="AH41" s="13" t="str">
        <f>IF(AND('1. Mapa de Riesgos'!$AA$56="Baja",'1. Mapa de Riesgos'!$AC$56="Catastrófico"),CONCATENATE("R6C",'1. Mapa de Riesgos'!$Q$56),"")</f>
        <v/>
      </c>
      <c r="AI41" s="14" t="str">
        <f>IF(AND('1. Mapa de Riesgos'!$AA$57="Baja",'1. Mapa de Riesgos'!$AC$57="Catastrófico"),CONCATENATE("R6C",'1. Mapa de Riesgos'!$Q$57),"")</f>
        <v/>
      </c>
      <c r="AJ41" s="14" t="str">
        <f>IF(AND('1. Mapa de Riesgos'!$AA$58="Baja",'1. Mapa de Riesgos'!$AC$58="Catastrófico"),CONCATENATE("R6C",'1. Mapa de Riesgos'!$Q$58),"")</f>
        <v/>
      </c>
      <c r="AK41" s="14" t="str">
        <f>IF(AND('1. Mapa de Riesgos'!$AA$59="Baja",'1. Mapa de Riesgos'!$AC$59="Catastrófico"),CONCATENATE("R6C",'1. Mapa de Riesgos'!$Q$59),"")</f>
        <v/>
      </c>
      <c r="AL41" s="14" t="str">
        <f>IF(AND('1. Mapa de Riesgos'!$AA$60="Baja",'1. Mapa de Riesgos'!$AC$60="Catastrófico"),CONCATENATE("R6C",'1. Mapa de Riesgos'!$Q$60),"")</f>
        <v/>
      </c>
      <c r="AM41" s="15" t="str">
        <f>IF(AND('1. Mapa de Riesgos'!$AA$61="Baja",'1. Mapa de Riesgos'!$AC$61="Catastrófico"),CONCATENATE("R6C",'1. Mapa de Riesgos'!$Q$61),"")</f>
        <v/>
      </c>
      <c r="AN41" s="41"/>
      <c r="AO41" s="546"/>
      <c r="AP41" s="547"/>
      <c r="AQ41" s="547"/>
      <c r="AR41" s="547"/>
      <c r="AS41" s="547"/>
      <c r="AT41" s="548"/>
      <c r="AU41" s="41"/>
      <c r="AV41" s="41"/>
      <c r="AW41" s="41"/>
      <c r="AX41" s="41"/>
      <c r="AY41" s="41"/>
      <c r="AZ41" s="41"/>
      <c r="BA41" s="41"/>
      <c r="BB41" s="41"/>
      <c r="BC41" s="41"/>
      <c r="BD41" s="41"/>
      <c r="BE41" s="41"/>
      <c r="BF41" s="41"/>
      <c r="BG41" s="41"/>
      <c r="BH41" s="41"/>
      <c r="BI41" s="41"/>
      <c r="BJ41" s="41"/>
      <c r="BK41" s="41"/>
      <c r="BL41" s="41"/>
      <c r="BM41" s="41"/>
      <c r="BN41" s="41"/>
      <c r="BO41" s="41"/>
      <c r="BP41" s="41"/>
      <c r="BQ41" s="41"/>
      <c r="BR41" s="41"/>
      <c r="BS41" s="41"/>
      <c r="BT41" s="41"/>
      <c r="BU41" s="41"/>
      <c r="BV41" s="41"/>
      <c r="BW41" s="41"/>
      <c r="BX41" s="41"/>
    </row>
    <row r="42" spans="1:80" ht="15" customHeight="1" x14ac:dyDescent="0.25">
      <c r="A42" s="41"/>
      <c r="B42" s="474"/>
      <c r="C42" s="474"/>
      <c r="D42" s="475"/>
      <c r="E42" s="515"/>
      <c r="F42" s="516"/>
      <c r="G42" s="516"/>
      <c r="H42" s="516"/>
      <c r="I42" s="516"/>
      <c r="J42" s="34" t="str">
        <f>IF(AND('1. Mapa de Riesgos'!$AA$26="Baja",'1. Mapa de Riesgos'!$AC$26="Leve"),CONCATENATE("R7C",'1. Mapa de Riesgos'!$Q$26),"")</f>
        <v/>
      </c>
      <c r="K42" s="35" t="str">
        <f>IF(AND('1. Mapa de Riesgos'!$AA$27="Baja",'1. Mapa de Riesgos'!$AC$27="Leve"),CONCATENATE("R7C",'1. Mapa de Riesgos'!$Q$27),"")</f>
        <v/>
      </c>
      <c r="L42" s="35" t="str">
        <f>IF(AND('1. Mapa de Riesgos'!$AA$28="Baja",'1. Mapa de Riesgos'!$AC$28="Leve"),CONCATENATE("R7C",'1. Mapa de Riesgos'!$Q$28),"")</f>
        <v/>
      </c>
      <c r="M42" s="35" t="str">
        <f>IF(AND('1. Mapa de Riesgos'!$AA$29="Baja",'1. Mapa de Riesgos'!$AC$29="Leve"),CONCATENATE("R7C",'1. Mapa de Riesgos'!$Q$29),"")</f>
        <v/>
      </c>
      <c r="N42" s="35" t="str">
        <f>IF(AND('1. Mapa de Riesgos'!$AA$30="Baja",'1. Mapa de Riesgos'!$AC$30="Leve"),CONCATENATE("R7C",'1. Mapa de Riesgos'!$Q$30),"")</f>
        <v/>
      </c>
      <c r="O42" s="36" t="str">
        <f>IF(AND('1. Mapa de Riesgos'!$AA$31="Baja",'1. Mapa de Riesgos'!$AC$31="Leve"),CONCATENATE("R7C",'1. Mapa de Riesgos'!$Q$31),"")</f>
        <v/>
      </c>
      <c r="P42" s="25" t="str">
        <f>IF(AND('1. Mapa de Riesgos'!$AA$26="Baja",'1. Mapa de Riesgos'!$AC$26="Menor"),CONCATENATE("R7C",'1. Mapa de Riesgos'!$Q$26),"")</f>
        <v/>
      </c>
      <c r="Q42" s="26" t="str">
        <f>IF(AND('1. Mapa de Riesgos'!$AA$27="Baja",'1. Mapa de Riesgos'!$AC$27="Menor"),CONCATENATE("R7C",'1. Mapa de Riesgos'!$Q$27),"")</f>
        <v/>
      </c>
      <c r="R42" s="26" t="str">
        <f>IF(AND('1. Mapa de Riesgos'!$AA$28="Baja",'1. Mapa de Riesgos'!$AC$28="Menor"),CONCATENATE("R7C",'1. Mapa de Riesgos'!$Q$28),"")</f>
        <v/>
      </c>
      <c r="S42" s="26" t="str">
        <f>IF(AND('1. Mapa de Riesgos'!$AA$29="Baja",'1. Mapa de Riesgos'!$AC$29="Menor"),CONCATENATE("R7C",'1. Mapa de Riesgos'!$Q$29),"")</f>
        <v/>
      </c>
      <c r="T42" s="26" t="str">
        <f>IF(AND('1. Mapa de Riesgos'!$AA$30="Baja",'1. Mapa de Riesgos'!$AC$30="Menor"),CONCATENATE("R7C",'1. Mapa de Riesgos'!$Q$30),"")</f>
        <v/>
      </c>
      <c r="U42" s="27" t="str">
        <f>IF(AND('1. Mapa de Riesgos'!$AA$31="Baja",'1. Mapa de Riesgos'!$AC$31="Menor"),CONCATENATE("R7C",'1. Mapa de Riesgos'!$Q$31),"")</f>
        <v/>
      </c>
      <c r="V42" s="25" t="str">
        <f>IF(AND('1. Mapa de Riesgos'!$AA$26="Baja",'1. Mapa de Riesgos'!$AC$26="Moderado"),CONCATENATE("R7C",'1. Mapa de Riesgos'!$Q$26),"")</f>
        <v/>
      </c>
      <c r="W42" s="26" t="str">
        <f>IF(AND('1. Mapa de Riesgos'!$AA$27="Baja",'1. Mapa de Riesgos'!$AC$27="Moderado"),CONCATENATE("R7C",'1. Mapa de Riesgos'!$Q$27),"")</f>
        <v/>
      </c>
      <c r="X42" s="26" t="str">
        <f>IF(AND('1. Mapa de Riesgos'!$AA$28="Baja",'1. Mapa de Riesgos'!$AC$28="Moderado"),CONCATENATE("R7C",'1. Mapa de Riesgos'!$Q$28),"")</f>
        <v/>
      </c>
      <c r="Y42" s="26" t="str">
        <f>IF(AND('1. Mapa de Riesgos'!$AA$29="Baja",'1. Mapa de Riesgos'!$AC$29="Moderado"),CONCATENATE("R7C",'1. Mapa de Riesgos'!$Q$29),"")</f>
        <v/>
      </c>
      <c r="Z42" s="26" t="str">
        <f>IF(AND('1. Mapa de Riesgos'!$AA$30="Baja",'1. Mapa de Riesgos'!$AC$30="Moderado"),CONCATENATE("R7C",'1. Mapa de Riesgos'!$Q$30),"")</f>
        <v/>
      </c>
      <c r="AA42" s="27" t="str">
        <f>IF(AND('1. Mapa de Riesgos'!$AA$31="Baja",'1. Mapa de Riesgos'!$AC$31="Moderado"),CONCATENATE("R7C",'1. Mapa de Riesgos'!$Q$31),"")</f>
        <v/>
      </c>
      <c r="AB42" s="10" t="str">
        <f>IF(AND('1. Mapa de Riesgos'!$AA$26="Baja",'1. Mapa de Riesgos'!$AC$26="Mayor"),CONCATENATE("R7C",'1. Mapa de Riesgos'!$Q$26),"")</f>
        <v/>
      </c>
      <c r="AC42" s="11" t="str">
        <f>IF(AND('1. Mapa de Riesgos'!$AA$27="Baja",'1. Mapa de Riesgos'!$AC$27="Mayor"),CONCATENATE("R7C",'1. Mapa de Riesgos'!$Q$27),"")</f>
        <v/>
      </c>
      <c r="AD42" s="11" t="str">
        <f>IF(AND('1. Mapa de Riesgos'!$AA$28="Baja",'1. Mapa de Riesgos'!$AC$28="Mayor"),CONCATENATE("R7C",'1. Mapa de Riesgos'!$Q$28),"")</f>
        <v/>
      </c>
      <c r="AE42" s="11" t="str">
        <f>IF(AND('1. Mapa de Riesgos'!$AA$29="Baja",'1. Mapa de Riesgos'!$AC$29="Mayor"),CONCATENATE("R7C",'1. Mapa de Riesgos'!$Q$29),"")</f>
        <v/>
      </c>
      <c r="AF42" s="11" t="str">
        <f>IF(AND('1. Mapa de Riesgos'!$AA$30="Baja",'1. Mapa de Riesgos'!$AC$30="Mayor"),CONCATENATE("R7C",'1. Mapa de Riesgos'!$Q$30),"")</f>
        <v/>
      </c>
      <c r="AG42" s="12" t="str">
        <f>IF(AND('1. Mapa de Riesgos'!$AA$31="Baja",'1. Mapa de Riesgos'!$AC$31="Mayor"),CONCATENATE("R7C",'1. Mapa de Riesgos'!$Q$31),"")</f>
        <v/>
      </c>
      <c r="AH42" s="13" t="str">
        <f>IF(AND('1. Mapa de Riesgos'!$AA$26="Baja",'1. Mapa de Riesgos'!$AC$26="Catastrófico"),CONCATENATE("R7C",'1. Mapa de Riesgos'!$Q$26),"")</f>
        <v/>
      </c>
      <c r="AI42" s="14" t="str">
        <f>IF(AND('1. Mapa de Riesgos'!$AA$27="Baja",'1. Mapa de Riesgos'!$AC$27="Catastrófico"),CONCATENATE("R7C",'1. Mapa de Riesgos'!$Q$27),"")</f>
        <v/>
      </c>
      <c r="AJ42" s="14" t="str">
        <f>IF(AND('1. Mapa de Riesgos'!$AA$28="Baja",'1. Mapa de Riesgos'!$AC$28="Catastrófico"),CONCATENATE("R7C",'1. Mapa de Riesgos'!$Q$28),"")</f>
        <v/>
      </c>
      <c r="AK42" s="14" t="str">
        <f>IF(AND('1. Mapa de Riesgos'!$AA$29="Baja",'1. Mapa de Riesgos'!$AC$29="Catastrófico"),CONCATENATE("R7C",'1. Mapa de Riesgos'!$Q$29),"")</f>
        <v/>
      </c>
      <c r="AL42" s="14" t="str">
        <f>IF(AND('1. Mapa de Riesgos'!$AA$30="Baja",'1. Mapa de Riesgos'!$AC$30="Catastrófico"),CONCATENATE("R7C",'1. Mapa de Riesgos'!$Q$30),"")</f>
        <v/>
      </c>
      <c r="AM42" s="15" t="str">
        <f>IF(AND('1. Mapa de Riesgos'!$AA$31="Baja",'1. Mapa de Riesgos'!$AC$31="Catastrófico"),CONCATENATE("R7C",'1. Mapa de Riesgos'!$Q$31),"")</f>
        <v/>
      </c>
      <c r="AN42" s="41"/>
      <c r="AO42" s="546"/>
      <c r="AP42" s="547"/>
      <c r="AQ42" s="547"/>
      <c r="AR42" s="547"/>
      <c r="AS42" s="547"/>
      <c r="AT42" s="548"/>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row>
    <row r="43" spans="1:80" ht="15" customHeight="1" x14ac:dyDescent="0.25">
      <c r="A43" s="41"/>
      <c r="B43" s="474"/>
      <c r="C43" s="474"/>
      <c r="D43" s="475"/>
      <c r="E43" s="515"/>
      <c r="F43" s="516"/>
      <c r="G43" s="516"/>
      <c r="H43" s="516"/>
      <c r="I43" s="516"/>
      <c r="J43" s="34" t="str">
        <f>IF(AND('1. Mapa de Riesgos'!$AA$20="Baja",'1. Mapa de Riesgos'!$AC$20="Leve"),CONCATENATE("R8C",'1. Mapa de Riesgos'!$Q$20),"")</f>
        <v/>
      </c>
      <c r="K43" s="35" t="str">
        <f>IF(AND('1. Mapa de Riesgos'!$AA$21="Baja",'1. Mapa de Riesgos'!$AC$21="Leve"),CONCATENATE("R8C",'1. Mapa de Riesgos'!$Q$21),"")</f>
        <v/>
      </c>
      <c r="L43" s="35" t="str">
        <f>IF(AND('1. Mapa de Riesgos'!$AA$22="Baja",'1. Mapa de Riesgos'!$AC$22="Leve"),CONCATENATE("R8C",'1. Mapa de Riesgos'!$Q$22),"")</f>
        <v/>
      </c>
      <c r="M43" s="35" t="str">
        <f>IF(AND('1. Mapa de Riesgos'!$AA$23="Baja",'1. Mapa de Riesgos'!$AC$23="Leve"),CONCATENATE("R8C",'1. Mapa de Riesgos'!$Q$23),"")</f>
        <v/>
      </c>
      <c r="N43" s="35" t="str">
        <f>IF(AND('1. Mapa de Riesgos'!$AA$24="Baja",'1. Mapa de Riesgos'!$AC$24="Leve"),CONCATENATE("R8C",'1. Mapa de Riesgos'!$Q$24),"")</f>
        <v/>
      </c>
      <c r="O43" s="36" t="str">
        <f>IF(AND('1. Mapa de Riesgos'!$AA$25="Baja",'1. Mapa de Riesgos'!$AC$25="Leve"),CONCATENATE("R8C",'1. Mapa de Riesgos'!$Q$25),"")</f>
        <v/>
      </c>
      <c r="P43" s="25" t="str">
        <f>IF(AND('1. Mapa de Riesgos'!$AA$20="Baja",'1. Mapa de Riesgos'!$AC$20="Menor"),CONCATENATE("R8C",'1. Mapa de Riesgos'!$Q$20),"")</f>
        <v/>
      </c>
      <c r="Q43" s="26" t="str">
        <f>IF(AND('1. Mapa de Riesgos'!$AA$21="Baja",'1. Mapa de Riesgos'!$AC$21="Menor"),CONCATENATE("R8C",'1. Mapa de Riesgos'!$Q$21),"")</f>
        <v/>
      </c>
      <c r="R43" s="26" t="str">
        <f>IF(AND('1. Mapa de Riesgos'!$AA$22="Baja",'1. Mapa de Riesgos'!$AC$22="Menor"),CONCATENATE("R8C",'1. Mapa de Riesgos'!$Q$22),"")</f>
        <v/>
      </c>
      <c r="S43" s="26" t="str">
        <f>IF(AND('1. Mapa de Riesgos'!$AA$23="Baja",'1. Mapa de Riesgos'!$AC$23="Menor"),CONCATENATE("R8C",'1. Mapa de Riesgos'!$Q$23),"")</f>
        <v/>
      </c>
      <c r="T43" s="26" t="str">
        <f>IF(AND('1. Mapa de Riesgos'!$AA$24="Baja",'1. Mapa de Riesgos'!$AC$24="Menor"),CONCATENATE("R8C",'1. Mapa de Riesgos'!$Q$24),"")</f>
        <v/>
      </c>
      <c r="U43" s="27" t="str">
        <f>IF(AND('1. Mapa de Riesgos'!$AA$25="Baja",'1. Mapa de Riesgos'!$AC$25="Menor"),CONCATENATE("R8C",'1. Mapa de Riesgos'!$Q$25),"")</f>
        <v/>
      </c>
      <c r="V43" s="25" t="str">
        <f>IF(AND('1. Mapa de Riesgos'!$AA$20="Baja",'1. Mapa de Riesgos'!$AC$20="Moderado"),CONCATENATE("R8C",'1. Mapa de Riesgos'!$Q$20),"")</f>
        <v/>
      </c>
      <c r="W43" s="26" t="str">
        <f>IF(AND('1. Mapa de Riesgos'!$AA$21="Baja",'1. Mapa de Riesgos'!$AC$21="Moderado"),CONCATENATE("R8C",'1. Mapa de Riesgos'!$Q$21),"")</f>
        <v/>
      </c>
      <c r="X43" s="26" t="str">
        <f>IF(AND('1. Mapa de Riesgos'!$AA$22="Baja",'1. Mapa de Riesgos'!$AC$22="Moderado"),CONCATENATE("R8C",'1. Mapa de Riesgos'!$Q$22),"")</f>
        <v/>
      </c>
      <c r="Y43" s="26" t="str">
        <f>IF(AND('1. Mapa de Riesgos'!$AA$23="Baja",'1. Mapa de Riesgos'!$AC$23="Moderado"),CONCATENATE("R8C",'1. Mapa de Riesgos'!$Q$23),"")</f>
        <v/>
      </c>
      <c r="Z43" s="26" t="str">
        <f>IF(AND('1. Mapa de Riesgos'!$AA$24="Baja",'1. Mapa de Riesgos'!$AC$24="Moderado"),CONCATENATE("R8C",'1. Mapa de Riesgos'!$Q$24),"")</f>
        <v/>
      </c>
      <c r="AA43" s="27" t="str">
        <f>IF(AND('1. Mapa de Riesgos'!$AA$25="Baja",'1. Mapa de Riesgos'!$AC$25="Moderado"),CONCATENATE("R8C",'1. Mapa de Riesgos'!$Q$25),"")</f>
        <v/>
      </c>
      <c r="AB43" s="10" t="str">
        <f>IF(AND('1. Mapa de Riesgos'!$AA$20="Baja",'1. Mapa de Riesgos'!$AC$20="Mayor"),CONCATENATE("R8C",'1. Mapa de Riesgos'!$Q$20),"")</f>
        <v/>
      </c>
      <c r="AC43" s="11" t="str">
        <f>IF(AND('1. Mapa de Riesgos'!$AA$21="Baja",'1. Mapa de Riesgos'!$AC$21="Mayor"),CONCATENATE("R8C",'1. Mapa de Riesgos'!$Q$21),"")</f>
        <v/>
      </c>
      <c r="AD43" s="11" t="str">
        <f>IF(AND('1. Mapa de Riesgos'!$AA$22="Baja",'1. Mapa de Riesgos'!$AC$22="Mayor"),CONCATENATE("R8C",'1. Mapa de Riesgos'!$Q$22),"")</f>
        <v/>
      </c>
      <c r="AE43" s="11" t="str">
        <f>IF(AND('1. Mapa de Riesgos'!$AA$23="Baja",'1. Mapa de Riesgos'!$AC$23="Mayor"),CONCATENATE("R8C",'1. Mapa de Riesgos'!$Q$23),"")</f>
        <v/>
      </c>
      <c r="AF43" s="11" t="str">
        <f>IF(AND('1. Mapa de Riesgos'!$AA$24="Baja",'1. Mapa de Riesgos'!$AC$24="Mayor"),CONCATENATE("R8C",'1. Mapa de Riesgos'!$Q$24),"")</f>
        <v/>
      </c>
      <c r="AG43" s="12" t="str">
        <f>IF(AND('1. Mapa de Riesgos'!$AA$25="Baja",'1. Mapa de Riesgos'!$AC$25="Mayor"),CONCATENATE("R8C",'1. Mapa de Riesgos'!$Q$25),"")</f>
        <v/>
      </c>
      <c r="AH43" s="13" t="str">
        <f>IF(AND('1. Mapa de Riesgos'!$AA$20="Baja",'1. Mapa de Riesgos'!$AC$20="Catastrófico"),CONCATENATE("R8C",'1. Mapa de Riesgos'!$Q$20),"")</f>
        <v/>
      </c>
      <c r="AI43" s="14" t="str">
        <f>IF(AND('1. Mapa de Riesgos'!$AA$21="Baja",'1. Mapa de Riesgos'!$AC$21="Catastrófico"),CONCATENATE("R8C",'1. Mapa de Riesgos'!$Q$21),"")</f>
        <v/>
      </c>
      <c r="AJ43" s="14" t="str">
        <f>IF(AND('1. Mapa de Riesgos'!$AA$22="Baja",'1. Mapa de Riesgos'!$AC$22="Catastrófico"),CONCATENATE("R8C",'1. Mapa de Riesgos'!$Q$22),"")</f>
        <v/>
      </c>
      <c r="AK43" s="14" t="str">
        <f>IF(AND('1. Mapa de Riesgos'!$AA$23="Baja",'1. Mapa de Riesgos'!$AC$23="Catastrófico"),CONCATENATE("R8C",'1. Mapa de Riesgos'!$Q$23),"")</f>
        <v/>
      </c>
      <c r="AL43" s="14" t="str">
        <f>IF(AND('1. Mapa de Riesgos'!$AA$24="Baja",'1. Mapa de Riesgos'!$AC$24="Catastrófico"),CONCATENATE("R8C",'1. Mapa de Riesgos'!$Q$24),"")</f>
        <v/>
      </c>
      <c r="AM43" s="15" t="str">
        <f>IF(AND('1. Mapa de Riesgos'!$AA$25="Baja",'1. Mapa de Riesgos'!$AC$25="Catastrófico"),CONCATENATE("R8C",'1. Mapa de Riesgos'!$Q$25),"")</f>
        <v/>
      </c>
      <c r="AN43" s="41"/>
      <c r="AO43" s="546"/>
      <c r="AP43" s="547"/>
      <c r="AQ43" s="547"/>
      <c r="AR43" s="547"/>
      <c r="AS43" s="547"/>
      <c r="AT43" s="548"/>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row>
    <row r="44" spans="1:80" ht="15" customHeight="1" x14ac:dyDescent="0.25">
      <c r="A44" s="41"/>
      <c r="B44" s="474"/>
      <c r="C44" s="474"/>
      <c r="D44" s="475"/>
      <c r="E44" s="515"/>
      <c r="F44" s="516"/>
      <c r="G44" s="516"/>
      <c r="H44" s="516"/>
      <c r="I44" s="516"/>
      <c r="J44" s="34" t="str">
        <f>IF(AND('1. Mapa de Riesgos'!$AA$62="Baja",'1. Mapa de Riesgos'!$AC$62="Leve"),CONCATENATE("R9C",'1. Mapa de Riesgos'!$Q$62),"")</f>
        <v/>
      </c>
      <c r="K44" s="35" t="str">
        <f>IF(AND('1. Mapa de Riesgos'!$AA$63="Baja",'1. Mapa de Riesgos'!$AC$63="Leve"),CONCATENATE("R9C",'1. Mapa de Riesgos'!$Q$63),"")</f>
        <v/>
      </c>
      <c r="L44" s="35" t="str">
        <f>IF(AND('1. Mapa de Riesgos'!$AA$64="Baja",'1. Mapa de Riesgos'!$AC$64="Leve"),CONCATENATE("R9C",'1. Mapa de Riesgos'!$Q$64),"")</f>
        <v/>
      </c>
      <c r="M44" s="35" t="str">
        <f>IF(AND('1. Mapa de Riesgos'!$AA$65="Baja",'1. Mapa de Riesgos'!$AC$65="Leve"),CONCATENATE("R9C",'1. Mapa de Riesgos'!$Q$65),"")</f>
        <v/>
      </c>
      <c r="N44" s="35" t="str">
        <f>IF(AND('1. Mapa de Riesgos'!$AA$66="Baja",'1. Mapa de Riesgos'!$AC$66="Leve"),CONCATENATE("R9C",'1. Mapa de Riesgos'!$Q$66),"")</f>
        <v/>
      </c>
      <c r="O44" s="36" t="str">
        <f>IF(AND('1. Mapa de Riesgos'!$AA$67="Baja",'1. Mapa de Riesgos'!$AC$67="Leve"),CONCATENATE("R9C",'1. Mapa de Riesgos'!$Q$67),"")</f>
        <v/>
      </c>
      <c r="P44" s="25" t="str">
        <f>IF(AND('1. Mapa de Riesgos'!$AA$62="Baja",'1. Mapa de Riesgos'!$AC$62="Menor"),CONCATENATE("R9C",'1. Mapa de Riesgos'!$Q$62),"")</f>
        <v/>
      </c>
      <c r="Q44" s="26" t="str">
        <f>IF(AND('1. Mapa de Riesgos'!$AA$63="Baja",'1. Mapa de Riesgos'!$AC$63="Menor"),CONCATENATE("R9C",'1. Mapa de Riesgos'!$Q$63),"")</f>
        <v/>
      </c>
      <c r="R44" s="26" t="str">
        <f>IF(AND('1. Mapa de Riesgos'!$AA$64="Baja",'1. Mapa de Riesgos'!$AC$64="Menor"),CONCATENATE("R9C",'1. Mapa de Riesgos'!$Q$64),"")</f>
        <v/>
      </c>
      <c r="S44" s="26" t="str">
        <f>IF(AND('1. Mapa de Riesgos'!$AA$65="Baja",'1. Mapa de Riesgos'!$AC$65="Menor"),CONCATENATE("R9C",'1. Mapa de Riesgos'!$Q$65),"")</f>
        <v/>
      </c>
      <c r="T44" s="26" t="str">
        <f>IF(AND('1. Mapa de Riesgos'!$AA$66="Baja",'1. Mapa de Riesgos'!$AC$66="Menor"),CONCATENATE("R9C",'1. Mapa de Riesgos'!$Q$66),"")</f>
        <v/>
      </c>
      <c r="U44" s="27" t="str">
        <f>IF(AND('1. Mapa de Riesgos'!$AA$67="Baja",'1. Mapa de Riesgos'!$AC$67="Menor"),CONCATENATE("R9C",'1. Mapa de Riesgos'!$Q$67),"")</f>
        <v/>
      </c>
      <c r="V44" s="25" t="str">
        <f>IF(AND('1. Mapa de Riesgos'!$AA$62="Baja",'1. Mapa de Riesgos'!$AC$62="Moderado"),CONCATENATE("R9C",'1. Mapa de Riesgos'!$Q$62),"")</f>
        <v/>
      </c>
      <c r="W44" s="26" t="str">
        <f>IF(AND('1. Mapa de Riesgos'!$AA$63="Baja",'1. Mapa de Riesgos'!$AC$63="Moderado"),CONCATENATE("R9C",'1. Mapa de Riesgos'!$Q$63),"")</f>
        <v/>
      </c>
      <c r="X44" s="26" t="str">
        <f>IF(AND('1. Mapa de Riesgos'!$AA$64="Baja",'1. Mapa de Riesgos'!$AC$64="Moderado"),CONCATENATE("R9C",'1. Mapa de Riesgos'!$Q$64),"")</f>
        <v/>
      </c>
      <c r="Y44" s="26" t="str">
        <f>IF(AND('1. Mapa de Riesgos'!$AA$65="Baja",'1. Mapa de Riesgos'!$AC$65="Moderado"),CONCATENATE("R9C",'1. Mapa de Riesgos'!$Q$65),"")</f>
        <v/>
      </c>
      <c r="Z44" s="26" t="str">
        <f>IF(AND('1. Mapa de Riesgos'!$AA$66="Baja",'1. Mapa de Riesgos'!$AC$66="Moderado"),CONCATENATE("R9C",'1. Mapa de Riesgos'!$Q$66),"")</f>
        <v/>
      </c>
      <c r="AA44" s="27" t="str">
        <f>IF(AND('1. Mapa de Riesgos'!$AA$67="Baja",'1. Mapa de Riesgos'!$AC$67="Moderado"),CONCATENATE("R9C",'1. Mapa de Riesgos'!$Q$67),"")</f>
        <v/>
      </c>
      <c r="AB44" s="10" t="str">
        <f>IF(AND('1. Mapa de Riesgos'!$AA$62="Baja",'1. Mapa de Riesgos'!$AC$62="Mayor"),CONCATENATE("R9C",'1. Mapa de Riesgos'!$Q$62),"")</f>
        <v/>
      </c>
      <c r="AC44" s="11" t="str">
        <f>IF(AND('1. Mapa de Riesgos'!$AA$63="Baja",'1. Mapa de Riesgos'!$AC$63="Mayor"),CONCATENATE("R9C",'1. Mapa de Riesgos'!$Q$63),"")</f>
        <v/>
      </c>
      <c r="AD44" s="11" t="str">
        <f>IF(AND('1. Mapa de Riesgos'!$AA$64="Baja",'1. Mapa de Riesgos'!$AC$64="Mayor"),CONCATENATE("R9C",'1. Mapa de Riesgos'!$Q$64),"")</f>
        <v/>
      </c>
      <c r="AE44" s="11" t="str">
        <f>IF(AND('1. Mapa de Riesgos'!$AA$65="Baja",'1. Mapa de Riesgos'!$AC$65="Mayor"),CONCATENATE("R9C",'1. Mapa de Riesgos'!$Q$65),"")</f>
        <v/>
      </c>
      <c r="AF44" s="11" t="str">
        <f>IF(AND('1. Mapa de Riesgos'!$AA$66="Baja",'1. Mapa de Riesgos'!$AC$66="Mayor"),CONCATENATE("R9C",'1. Mapa de Riesgos'!$Q$66),"")</f>
        <v/>
      </c>
      <c r="AG44" s="12" t="str">
        <f>IF(AND('1. Mapa de Riesgos'!$AA$67="Baja",'1. Mapa de Riesgos'!$AC$67="Mayor"),CONCATENATE("R9C",'1. Mapa de Riesgos'!$Q$67),"")</f>
        <v/>
      </c>
      <c r="AH44" s="13" t="str">
        <f>IF(AND('1. Mapa de Riesgos'!$AA$62="Baja",'1. Mapa de Riesgos'!$AC$62="Catastrófico"),CONCATENATE("R9C",'1. Mapa de Riesgos'!$Q$62),"")</f>
        <v/>
      </c>
      <c r="AI44" s="14" t="str">
        <f>IF(AND('1. Mapa de Riesgos'!$AA$63="Baja",'1. Mapa de Riesgos'!$AC$63="Catastrófico"),CONCATENATE("R9C",'1. Mapa de Riesgos'!$Q$63),"")</f>
        <v/>
      </c>
      <c r="AJ44" s="14" t="str">
        <f>IF(AND('1. Mapa de Riesgos'!$AA$64="Baja",'1. Mapa de Riesgos'!$AC$64="Catastrófico"),CONCATENATE("R9C",'1. Mapa de Riesgos'!$Q$64),"")</f>
        <v/>
      </c>
      <c r="AK44" s="14" t="str">
        <f>IF(AND('1. Mapa de Riesgos'!$AA$65="Baja",'1. Mapa de Riesgos'!$AC$65="Catastrófico"),CONCATENATE("R9C",'1. Mapa de Riesgos'!$Q$65),"")</f>
        <v/>
      </c>
      <c r="AL44" s="14" t="str">
        <f>IF(AND('1. Mapa de Riesgos'!$AA$66="Baja",'1. Mapa de Riesgos'!$AC$66="Catastrófico"),CONCATENATE("R9C",'1. Mapa de Riesgos'!$Q$66),"")</f>
        <v/>
      </c>
      <c r="AM44" s="15" t="str">
        <f>IF(AND('1. Mapa de Riesgos'!$AA$67="Baja",'1. Mapa de Riesgos'!$AC$67="Catastrófico"),CONCATENATE("R9C",'1. Mapa de Riesgos'!$Q$67),"")</f>
        <v/>
      </c>
      <c r="AN44" s="41"/>
      <c r="AO44" s="546"/>
      <c r="AP44" s="547"/>
      <c r="AQ44" s="547"/>
      <c r="AR44" s="547"/>
      <c r="AS44" s="547"/>
      <c r="AT44" s="548"/>
      <c r="AU44" s="41"/>
      <c r="AV44" s="41"/>
      <c r="AW44" s="41"/>
      <c r="AX44" s="41"/>
      <c r="AY44" s="41"/>
      <c r="AZ44" s="41"/>
      <c r="BA44" s="41"/>
      <c r="BB44" s="41"/>
      <c r="BC44" s="41"/>
      <c r="BD44" s="41"/>
      <c r="BE44" s="41"/>
      <c r="BF44" s="41"/>
      <c r="BG44" s="41"/>
      <c r="BH44" s="41"/>
      <c r="BI44" s="41"/>
      <c r="BJ44" s="41"/>
      <c r="BK44" s="41"/>
      <c r="BL44" s="41"/>
      <c r="BM44" s="41"/>
      <c r="BN44" s="41"/>
      <c r="BO44" s="41"/>
      <c r="BP44" s="41"/>
      <c r="BQ44" s="41"/>
      <c r="BR44" s="41"/>
      <c r="BS44" s="41"/>
      <c r="BT44" s="41"/>
      <c r="BU44" s="41"/>
      <c r="BV44" s="41"/>
      <c r="BW44" s="41"/>
      <c r="BX44" s="41"/>
    </row>
    <row r="45" spans="1:80" ht="15.75" customHeight="1" thickBot="1" x14ac:dyDescent="0.3">
      <c r="A45" s="41"/>
      <c r="B45" s="474"/>
      <c r="C45" s="474"/>
      <c r="D45" s="475"/>
      <c r="E45" s="518"/>
      <c r="F45" s="519"/>
      <c r="G45" s="519"/>
      <c r="H45" s="519"/>
      <c r="I45" s="519"/>
      <c r="J45" s="37" t="str">
        <f>IF(AND('1. Mapa de Riesgos'!$AA$68="Baja",'1. Mapa de Riesgos'!$AC$68="Leve"),CONCATENATE("R10C",'1. Mapa de Riesgos'!$Q$68),"")</f>
        <v/>
      </c>
      <c r="K45" s="38" t="str">
        <f>IF(AND('1. Mapa de Riesgos'!$AA$69="Baja",'1. Mapa de Riesgos'!$AC$69="Leve"),CONCATENATE("R10C",'1. Mapa de Riesgos'!$Q$69),"")</f>
        <v/>
      </c>
      <c r="L45" s="38" t="str">
        <f>IF(AND('1. Mapa de Riesgos'!$AA$70="Baja",'1. Mapa de Riesgos'!$AC$70="Leve"),CONCATENATE("R10C",'1. Mapa de Riesgos'!$Q$70),"")</f>
        <v/>
      </c>
      <c r="M45" s="38" t="str">
        <f>IF(AND('1. Mapa de Riesgos'!$AA$71="Baja",'1. Mapa de Riesgos'!$AC$71="Leve"),CONCATENATE("R10C",'1. Mapa de Riesgos'!$Q$71),"")</f>
        <v/>
      </c>
      <c r="N45" s="38" t="str">
        <f>IF(AND('1. Mapa de Riesgos'!$AA$72="Baja",'1. Mapa de Riesgos'!$AC$72="Leve"),CONCATENATE("R10C",'1. Mapa de Riesgos'!$Q$72),"")</f>
        <v/>
      </c>
      <c r="O45" s="39" t="str">
        <f>IF(AND('1. Mapa de Riesgos'!$AA$73="Baja",'1. Mapa de Riesgos'!$AC$73="Leve"),CONCATENATE("R10C",'1. Mapa de Riesgos'!$Q$73),"")</f>
        <v/>
      </c>
      <c r="P45" s="25" t="str">
        <f>IF(AND('1. Mapa de Riesgos'!$AA$68="Baja",'1. Mapa de Riesgos'!$AC$68="Menor"),CONCATENATE("R10C",'1. Mapa de Riesgos'!$Q$68),"")</f>
        <v/>
      </c>
      <c r="Q45" s="26" t="str">
        <f>IF(AND('1. Mapa de Riesgos'!$AA$69="Baja",'1. Mapa de Riesgos'!$AC$69="Menor"),CONCATENATE("R10C",'1. Mapa de Riesgos'!$Q$69),"")</f>
        <v/>
      </c>
      <c r="R45" s="26" t="str">
        <f>IF(AND('1. Mapa de Riesgos'!$AA$70="Baja",'1. Mapa de Riesgos'!$AC$70="Menor"),CONCATENATE("R10C",'1. Mapa de Riesgos'!$Q$70),"")</f>
        <v/>
      </c>
      <c r="S45" s="26" t="str">
        <f>IF(AND('1. Mapa de Riesgos'!$AA$71="Baja",'1. Mapa de Riesgos'!$AC$71="Menor"),CONCATENATE("R10C",'1. Mapa de Riesgos'!$Q$71),"")</f>
        <v/>
      </c>
      <c r="T45" s="26" t="str">
        <f>IF(AND('1. Mapa de Riesgos'!$AA$72="Baja",'1. Mapa de Riesgos'!$AC$72="Menor"),CONCATENATE("R10C",'1. Mapa de Riesgos'!$Q$72),"")</f>
        <v/>
      </c>
      <c r="U45" s="27" t="str">
        <f>IF(AND('1. Mapa de Riesgos'!$AA$73="Baja",'1. Mapa de Riesgos'!$AC$73="Menor"),CONCATENATE("R10C",'1. Mapa de Riesgos'!$Q$73),"")</f>
        <v/>
      </c>
      <c r="V45" s="28" t="str">
        <f>IF(AND('1. Mapa de Riesgos'!$AA$68="Baja",'1. Mapa de Riesgos'!$AC$68="Moderado"),CONCATENATE("R10C",'1. Mapa de Riesgos'!$Q$68),"")</f>
        <v/>
      </c>
      <c r="W45" s="29" t="str">
        <f>IF(AND('1. Mapa de Riesgos'!$AA$69="Baja",'1. Mapa de Riesgos'!$AC$69="Moderado"),CONCATENATE("R10C",'1. Mapa de Riesgos'!$Q$69),"")</f>
        <v/>
      </c>
      <c r="X45" s="29" t="str">
        <f>IF(AND('1. Mapa de Riesgos'!$AA$70="Baja",'1. Mapa de Riesgos'!$AC$70="Moderado"),CONCATENATE("R10C",'1. Mapa de Riesgos'!$Q$70),"")</f>
        <v/>
      </c>
      <c r="Y45" s="29" t="str">
        <f>IF(AND('1. Mapa de Riesgos'!$AA$71="Baja",'1. Mapa de Riesgos'!$AC$71="Moderado"),CONCATENATE("R10C",'1. Mapa de Riesgos'!$Q$71),"")</f>
        <v/>
      </c>
      <c r="Z45" s="29" t="str">
        <f>IF(AND('1. Mapa de Riesgos'!$AA$72="Baja",'1. Mapa de Riesgos'!$AC$72="Moderado"),CONCATENATE("R10C",'1. Mapa de Riesgos'!$Q$72),"")</f>
        <v/>
      </c>
      <c r="AA45" s="30" t="str">
        <f>IF(AND('1. Mapa de Riesgos'!$AA$73="Baja",'1. Mapa de Riesgos'!$AC$73="Moderado"),CONCATENATE("R10C",'1. Mapa de Riesgos'!$Q$73),"")</f>
        <v/>
      </c>
      <c r="AB45" s="16" t="str">
        <f>IF(AND('1. Mapa de Riesgos'!$AA$68="Baja",'1. Mapa de Riesgos'!$AC$68="Mayor"),CONCATENATE("R10C",'1. Mapa de Riesgos'!$Q$68),"")</f>
        <v/>
      </c>
      <c r="AC45" s="17" t="str">
        <f>IF(AND('1. Mapa de Riesgos'!$AA$69="Baja",'1. Mapa de Riesgos'!$AC$69="Mayor"),CONCATENATE("R10C",'1. Mapa de Riesgos'!$Q$69),"")</f>
        <v/>
      </c>
      <c r="AD45" s="17" t="str">
        <f>IF(AND('1. Mapa de Riesgos'!$AA$70="Baja",'1. Mapa de Riesgos'!$AC$70="Mayor"),CONCATENATE("R10C",'1. Mapa de Riesgos'!$Q$70),"")</f>
        <v/>
      </c>
      <c r="AE45" s="17" t="str">
        <f>IF(AND('1. Mapa de Riesgos'!$AA$71="Baja",'1. Mapa de Riesgos'!$AC$71="Mayor"),CONCATENATE("R10C",'1. Mapa de Riesgos'!$Q$71),"")</f>
        <v/>
      </c>
      <c r="AF45" s="17" t="str">
        <f>IF(AND('1. Mapa de Riesgos'!$AA$72="Baja",'1. Mapa de Riesgos'!$AC$72="Mayor"),CONCATENATE("R10C",'1. Mapa de Riesgos'!$Q$72),"")</f>
        <v/>
      </c>
      <c r="AG45" s="18" t="str">
        <f>IF(AND('1. Mapa de Riesgos'!$AA$73="Baja",'1. Mapa de Riesgos'!$AC$73="Mayor"),CONCATENATE("R10C",'1. Mapa de Riesgos'!$Q$73),"")</f>
        <v/>
      </c>
      <c r="AH45" s="19" t="str">
        <f>IF(AND('1. Mapa de Riesgos'!$AA$68="Baja",'1. Mapa de Riesgos'!$AC$68="Catastrófico"),CONCATENATE("R10C",'1. Mapa de Riesgos'!$Q$68),"")</f>
        <v/>
      </c>
      <c r="AI45" s="20" t="str">
        <f>IF(AND('1. Mapa de Riesgos'!$AA$69="Baja",'1. Mapa de Riesgos'!$AC$69="Catastrófico"),CONCATENATE("R10C",'1. Mapa de Riesgos'!$Q$69),"")</f>
        <v/>
      </c>
      <c r="AJ45" s="20" t="str">
        <f>IF(AND('1. Mapa de Riesgos'!$AA$70="Baja",'1. Mapa de Riesgos'!$AC$70="Catastrófico"),CONCATENATE("R10C",'1. Mapa de Riesgos'!$Q$70),"")</f>
        <v/>
      </c>
      <c r="AK45" s="20" t="str">
        <f>IF(AND('1. Mapa de Riesgos'!$AA$71="Baja",'1. Mapa de Riesgos'!$AC$71="Catastrófico"),CONCATENATE("R10C",'1. Mapa de Riesgos'!$Q$71),"")</f>
        <v/>
      </c>
      <c r="AL45" s="20" t="str">
        <f>IF(AND('1. Mapa de Riesgos'!$AA$72="Baja",'1. Mapa de Riesgos'!$AC$72="Catastrófico"),CONCATENATE("R10C",'1. Mapa de Riesgos'!$Q$72),"")</f>
        <v/>
      </c>
      <c r="AM45" s="21" t="str">
        <f>IF(AND('1. Mapa de Riesgos'!$AA$73="Baja",'1. Mapa de Riesgos'!$AC$73="Catastrófico"),CONCATENATE("R10C",'1. Mapa de Riesgos'!$Q$73),"")</f>
        <v/>
      </c>
      <c r="AN45" s="41"/>
      <c r="AO45" s="549"/>
      <c r="AP45" s="550"/>
      <c r="AQ45" s="550"/>
      <c r="AR45" s="550"/>
      <c r="AS45" s="550"/>
      <c r="AT45" s="551"/>
    </row>
    <row r="46" spans="1:80" ht="46.5" customHeight="1" x14ac:dyDescent="0.35">
      <c r="A46" s="41"/>
      <c r="B46" s="474"/>
      <c r="C46" s="474"/>
      <c r="D46" s="475"/>
      <c r="E46" s="512" t="s">
        <v>119</v>
      </c>
      <c r="F46" s="513"/>
      <c r="G46" s="513"/>
      <c r="H46" s="513"/>
      <c r="I46" s="514"/>
      <c r="J46" s="31" t="str">
        <f>IF(AND('1. Mapa de Riesgos'!$AA$14="Muy Baja",'1. Mapa de Riesgos'!$AC$14="Leve"),CONCATENATE("R1C",'1. Mapa de Riesgos'!$Q$14),"")</f>
        <v/>
      </c>
      <c r="K46" s="32" t="str">
        <f>IF(AND('1. Mapa de Riesgos'!$AA$15="Muy Baja",'1. Mapa de Riesgos'!$AC$15="Leve"),CONCATENATE("R1C",'1. Mapa de Riesgos'!$Q$15),"")</f>
        <v>R1C2</v>
      </c>
      <c r="L46" s="32" t="str">
        <f>IF(AND('1. Mapa de Riesgos'!$AA$16="Muy Baja",'1. Mapa de Riesgos'!$AC$16="Leve"),CONCATENATE("R1C",'1. Mapa de Riesgos'!$Q$16),"")</f>
        <v/>
      </c>
      <c r="M46" s="32" t="str">
        <f>IF(AND('1. Mapa de Riesgos'!$AA$17="Muy Baja",'1. Mapa de Riesgos'!$AC$17="Leve"),CONCATENATE("R1C",'1. Mapa de Riesgos'!$Q$17),"")</f>
        <v/>
      </c>
      <c r="N46" s="32" t="str">
        <f>IF(AND('1. Mapa de Riesgos'!$AA$18="Muy Baja",'1. Mapa de Riesgos'!$AC$18="Leve"),CONCATENATE("R1C",'1. Mapa de Riesgos'!$Q$18),"")</f>
        <v/>
      </c>
      <c r="O46" s="33" t="str">
        <f>IF(AND('1. Mapa de Riesgos'!$AA$19="Muy Baja",'1. Mapa de Riesgos'!$AC$19="Leve"),CONCATENATE("R1C",'1. Mapa de Riesgos'!$Q$19),"")</f>
        <v/>
      </c>
      <c r="P46" s="31" t="str">
        <f>IF(AND('1. Mapa de Riesgos'!$AA$14="Muy Baja",'1. Mapa de Riesgos'!$AC$14="Menor"),CONCATENATE("R1C",'1. Mapa de Riesgos'!$Q$14),"")</f>
        <v/>
      </c>
      <c r="Q46" s="32" t="str">
        <f>IF(AND('1. Mapa de Riesgos'!$AA$15="Muy Baja",'1. Mapa de Riesgos'!$AC$15="Menor"),CONCATENATE("R1C",'1. Mapa de Riesgos'!$Q$15),"")</f>
        <v/>
      </c>
      <c r="R46" s="32" t="str">
        <f>IF(AND('1. Mapa de Riesgos'!$AA$16="Muy Baja",'1. Mapa de Riesgos'!$AC$16="Menor"),CONCATENATE("R1C",'1. Mapa de Riesgos'!$Q$16),"")</f>
        <v/>
      </c>
      <c r="S46" s="32" t="str">
        <f>IF(AND('1. Mapa de Riesgos'!$AA$17="Muy Baja",'1. Mapa de Riesgos'!$AC$17="Menor"),CONCATENATE("R1C",'1. Mapa de Riesgos'!$Q$17),"")</f>
        <v/>
      </c>
      <c r="T46" s="32" t="str">
        <f>IF(AND('1. Mapa de Riesgos'!$AA$18="Muy Baja",'1. Mapa de Riesgos'!$AC$18="Menor"),CONCATENATE("R1C",'1. Mapa de Riesgos'!$Q$18),"")</f>
        <v/>
      </c>
      <c r="U46" s="33" t="str">
        <f>IF(AND('1. Mapa de Riesgos'!$AA$19="Muy Baja",'1. Mapa de Riesgos'!$AC$19="Menor"),CONCATENATE("R1C",'1. Mapa de Riesgos'!$Q$19),"")</f>
        <v/>
      </c>
      <c r="V46" s="22" t="str">
        <f>IF(AND('1. Mapa de Riesgos'!$AA$14="Muy Baja",'1. Mapa de Riesgos'!$AC$14="Moderado"),CONCATENATE("R1C",'1. Mapa de Riesgos'!$Q$14),"")</f>
        <v/>
      </c>
      <c r="W46" s="40" t="str">
        <f>IF(AND('1. Mapa de Riesgos'!$AA$15="Muy Baja",'1. Mapa de Riesgos'!$AC$15="Moderado"),CONCATENATE("R1C",'1. Mapa de Riesgos'!$Q$15),"")</f>
        <v/>
      </c>
      <c r="X46" s="23" t="str">
        <f>IF(AND('1. Mapa de Riesgos'!$AA$16="Muy Baja",'1. Mapa de Riesgos'!$AC$16="Moderado"),CONCATENATE("R1C",'1. Mapa de Riesgos'!$Q$16),"")</f>
        <v/>
      </c>
      <c r="Y46" s="23" t="str">
        <f>IF(AND('1. Mapa de Riesgos'!$AA$17="Muy Baja",'1. Mapa de Riesgos'!$AC$17="Moderado"),CONCATENATE("R1C",'1. Mapa de Riesgos'!$Q$17),"")</f>
        <v/>
      </c>
      <c r="Z46" s="23" t="str">
        <f>IF(AND('1. Mapa de Riesgos'!$AA$18="Muy Baja",'1. Mapa de Riesgos'!$AC$18="Moderado"),CONCATENATE("R1C",'1. Mapa de Riesgos'!$Q$18),"")</f>
        <v/>
      </c>
      <c r="AA46" s="24" t="str">
        <f>IF(AND('1. Mapa de Riesgos'!$AA$19="Muy Baja",'1. Mapa de Riesgos'!$AC$19="Moderado"),CONCATENATE("R1C",'1. Mapa de Riesgos'!$Q$19),"")</f>
        <v/>
      </c>
      <c r="AB46" s="4" t="str">
        <f>IF(AND('1. Mapa de Riesgos'!$AA$14="Muy Baja",'1. Mapa de Riesgos'!$AC$14="Mayor"),CONCATENATE("R1C",'1. Mapa de Riesgos'!$Q$14),"")</f>
        <v>R1C1</v>
      </c>
      <c r="AC46" s="5" t="str">
        <f>IF(AND('1. Mapa de Riesgos'!$AA$15="Muy Baja",'1. Mapa de Riesgos'!$AC$15="Mayor"),CONCATENATE("R1C",'1. Mapa de Riesgos'!$Q$15),"")</f>
        <v/>
      </c>
      <c r="AD46" s="5" t="str">
        <f>IF(AND('1. Mapa de Riesgos'!$AA$16="Muy Baja",'1. Mapa de Riesgos'!$AC$16="Mayor"),CONCATENATE("R1C",'1. Mapa de Riesgos'!$Q$16),"")</f>
        <v/>
      </c>
      <c r="AE46" s="5" t="str">
        <f>IF(AND('1. Mapa de Riesgos'!$AA$17="Muy Baja",'1. Mapa de Riesgos'!$AC$17="Mayor"),CONCATENATE("R1C",'1. Mapa de Riesgos'!$Q$17),"")</f>
        <v/>
      </c>
      <c r="AF46" s="5" t="str">
        <f>IF(AND('1. Mapa de Riesgos'!$AA$18="Muy Baja",'1. Mapa de Riesgos'!$AC$18="Mayor"),CONCATENATE("R1C",'1. Mapa de Riesgos'!$Q$18),"")</f>
        <v/>
      </c>
      <c r="AG46" s="6" t="str">
        <f>IF(AND('1. Mapa de Riesgos'!$AA$19="Muy Baja",'1. Mapa de Riesgos'!$AC$19="Mayor"),CONCATENATE("R1C",'1. Mapa de Riesgos'!$Q$19),"")</f>
        <v/>
      </c>
      <c r="AH46" s="7" t="str">
        <f>IF(AND('1. Mapa de Riesgos'!$AA$14="Muy Baja",'1. Mapa de Riesgos'!$AC$14="Catastrófico"),CONCATENATE("R1C",'1. Mapa de Riesgos'!$Q$14),"")</f>
        <v/>
      </c>
      <c r="AI46" s="8" t="str">
        <f>IF(AND('1. Mapa de Riesgos'!$AA$15="Muy Baja",'1. Mapa de Riesgos'!$AC$15="Catastrófico"),CONCATENATE("R1C",'1. Mapa de Riesgos'!$Q$15),"")</f>
        <v/>
      </c>
      <c r="AJ46" s="8" t="str">
        <f>IF(AND('1. Mapa de Riesgos'!$AA$16="Muy Baja",'1. Mapa de Riesgos'!$AC$16="Catastrófico"),CONCATENATE("R1C",'1. Mapa de Riesgos'!$Q$16),"")</f>
        <v/>
      </c>
      <c r="AK46" s="8" t="str">
        <f>IF(AND('1. Mapa de Riesgos'!$AA$17="Muy Baja",'1. Mapa de Riesgos'!$AC$17="Catastrófico"),CONCATENATE("R1C",'1. Mapa de Riesgos'!$Q$17),"")</f>
        <v/>
      </c>
      <c r="AL46" s="8" t="str">
        <f>IF(AND('1. Mapa de Riesgos'!$AA$18="Muy Baja",'1. Mapa de Riesgos'!$AC$18="Catastrófico"),CONCATENATE("R1C",'1. Mapa de Riesgos'!$Q$18),"")</f>
        <v/>
      </c>
      <c r="AM46" s="9" t="str">
        <f>IF(AND('1. Mapa de Riesgos'!$AA$19="Muy Baja",'1. Mapa de Riesgos'!$AC$19="Catastrófico"),CONCATENATE("R1C",'1. Mapa de Riesgos'!$Q$19),"")</f>
        <v/>
      </c>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row>
    <row r="47" spans="1:80" ht="46.5" customHeight="1" x14ac:dyDescent="0.25">
      <c r="A47" s="41"/>
      <c r="B47" s="474"/>
      <c r="C47" s="474"/>
      <c r="D47" s="475"/>
      <c r="E47" s="531"/>
      <c r="F47" s="516"/>
      <c r="G47" s="516"/>
      <c r="H47" s="516"/>
      <c r="I47" s="517"/>
      <c r="J47" s="34" t="str">
        <f>IF(AND('1. Mapa de Riesgos'!$AA$32="Muy Baja",'1. Mapa de Riesgos'!$AC$32="Leve"),CONCATENATE("R2C",'1. Mapa de Riesgos'!$Q$32),"")</f>
        <v/>
      </c>
      <c r="K47" s="35" t="str">
        <f>IF(AND('1. Mapa de Riesgos'!$AA$33="Muy Baja",'1. Mapa de Riesgos'!$AC$33="Leve"),CONCATENATE("R2C",'1. Mapa de Riesgos'!$Q$33),"")</f>
        <v/>
      </c>
      <c r="L47" s="35" t="str">
        <f>IF(AND('1. Mapa de Riesgos'!$AA$34="Muy Baja",'1. Mapa de Riesgos'!$AC$34="Leve"),CONCATENATE("R2C",'1. Mapa de Riesgos'!$Q$34),"")</f>
        <v/>
      </c>
      <c r="M47" s="35" t="str">
        <f>IF(AND('1. Mapa de Riesgos'!$AA$35="Muy Baja",'1. Mapa de Riesgos'!$AC$35="Leve"),CONCATENATE("R2C",'1. Mapa de Riesgos'!$Q$35),"")</f>
        <v/>
      </c>
      <c r="N47" s="35" t="str">
        <f>IF(AND('1. Mapa de Riesgos'!$AA$36="Muy Baja",'1. Mapa de Riesgos'!$AC$36="Leve"),CONCATENATE("R2C",'1. Mapa de Riesgos'!$Q$36),"")</f>
        <v/>
      </c>
      <c r="O47" s="36" t="str">
        <f>IF(AND('1. Mapa de Riesgos'!$AA$37="Muy Baja",'1. Mapa de Riesgos'!$AC$37="Leve"),CONCATENATE("R2C",'1. Mapa de Riesgos'!$Q$37),"")</f>
        <v/>
      </c>
      <c r="P47" s="34" t="str">
        <f>IF(AND('1. Mapa de Riesgos'!$AA$32="Muy Baja",'1. Mapa de Riesgos'!$AC$32="Menor"),CONCATENATE("R2C",'1. Mapa de Riesgos'!$Q$32),"")</f>
        <v/>
      </c>
      <c r="Q47" s="35" t="str">
        <f>IF(AND('1. Mapa de Riesgos'!$AA$33="Muy Baja",'1. Mapa de Riesgos'!$AC$33="Menor"),CONCATENATE("R2C",'1. Mapa de Riesgos'!$Q$33),"")</f>
        <v/>
      </c>
      <c r="R47" s="35" t="str">
        <f>IF(AND('1. Mapa de Riesgos'!$AA$34="Muy Baja",'1. Mapa de Riesgos'!$AC$34="Menor"),CONCATENATE("R2C",'1. Mapa de Riesgos'!$Q$34),"")</f>
        <v/>
      </c>
      <c r="S47" s="35" t="str">
        <f>IF(AND('1. Mapa de Riesgos'!$AA$35="Muy Baja",'1. Mapa de Riesgos'!$AC$35="Menor"),CONCATENATE("R2C",'1. Mapa de Riesgos'!$Q$35),"")</f>
        <v/>
      </c>
      <c r="T47" s="35" t="str">
        <f>IF(AND('1. Mapa de Riesgos'!$AA$36="Muy Baja",'1. Mapa de Riesgos'!$AC$36="Menor"),CONCATENATE("R2C",'1. Mapa de Riesgos'!$Q$36),"")</f>
        <v/>
      </c>
      <c r="U47" s="36" t="str">
        <f>IF(AND('1. Mapa de Riesgos'!$AA$37="Muy Baja",'1. Mapa de Riesgos'!$AC$37="Menor"),CONCATENATE("R2C",'1. Mapa de Riesgos'!$Q$37),"")</f>
        <v/>
      </c>
      <c r="V47" s="25" t="str">
        <f>IF(AND('1. Mapa de Riesgos'!$AA$32="Muy Baja",'1. Mapa de Riesgos'!$AC$32="Moderado"),CONCATENATE("R2C",'1. Mapa de Riesgos'!$Q$32),"")</f>
        <v/>
      </c>
      <c r="W47" s="26" t="str">
        <f>IF(AND('1. Mapa de Riesgos'!$AA$33="Muy Baja",'1. Mapa de Riesgos'!$AC$33="Moderado"),CONCATENATE("R2C",'1. Mapa de Riesgos'!$Q$33),"")</f>
        <v/>
      </c>
      <c r="X47" s="26" t="str">
        <f>IF(AND('1. Mapa de Riesgos'!$AA$34="Muy Baja",'1. Mapa de Riesgos'!$AC$34="Moderado"),CONCATENATE("R2C",'1. Mapa de Riesgos'!$Q$34),"")</f>
        <v/>
      </c>
      <c r="Y47" s="26" t="str">
        <f>IF(AND('1. Mapa de Riesgos'!$AA$35="Muy Baja",'1. Mapa de Riesgos'!$AC$35="Moderado"),CONCATENATE("R2C",'1. Mapa de Riesgos'!$Q$35),"")</f>
        <v/>
      </c>
      <c r="Z47" s="26" t="str">
        <f>IF(AND('1. Mapa de Riesgos'!$AA$36="Muy Baja",'1. Mapa de Riesgos'!$AC$36="Moderado"),CONCATENATE("R2C",'1. Mapa de Riesgos'!$Q$36),"")</f>
        <v/>
      </c>
      <c r="AA47" s="27" t="str">
        <f>IF(AND('1. Mapa de Riesgos'!$AA$37="Muy Baja",'1. Mapa de Riesgos'!$AC$37="Moderado"),CONCATENATE("R2C",'1. Mapa de Riesgos'!$Q$37),"")</f>
        <v/>
      </c>
      <c r="AB47" s="10" t="str">
        <f>IF(AND('1. Mapa de Riesgos'!$AA$32="Muy Baja",'1. Mapa de Riesgos'!$AC$32="Mayor"),CONCATENATE("R2C",'1. Mapa de Riesgos'!$Q$32),"")</f>
        <v>R2C1</v>
      </c>
      <c r="AC47" s="11" t="str">
        <f>IF(AND('1. Mapa de Riesgos'!$AA$33="Muy Baja",'1. Mapa de Riesgos'!$AC$33="Mayor"),CONCATENATE("R2C",'1. Mapa de Riesgos'!$Q$33),"")</f>
        <v/>
      </c>
      <c r="AD47" s="11" t="str">
        <f>IF(AND('1. Mapa de Riesgos'!$AA$34="Muy Baja",'1. Mapa de Riesgos'!$AC$34="Mayor"),CONCATENATE("R2C",'1. Mapa de Riesgos'!$Q$34),"")</f>
        <v/>
      </c>
      <c r="AE47" s="11" t="str">
        <f>IF(AND('1. Mapa de Riesgos'!$AA$35="Muy Baja",'1. Mapa de Riesgos'!$AC$35="Mayor"),CONCATENATE("R2C",'1. Mapa de Riesgos'!$Q$35),"")</f>
        <v/>
      </c>
      <c r="AF47" s="11" t="str">
        <f>IF(AND('1. Mapa de Riesgos'!$AA$36="Muy Baja",'1. Mapa de Riesgos'!$AC$36="Mayor"),CONCATENATE("R2C",'1. Mapa de Riesgos'!$Q$36),"")</f>
        <v/>
      </c>
      <c r="AG47" s="12" t="str">
        <f>IF(AND('1. Mapa de Riesgos'!$AA$37="Muy Baja",'1. Mapa de Riesgos'!$AC$37="Mayor"),CONCATENATE("R2C",'1. Mapa de Riesgos'!$Q$37),"")</f>
        <v/>
      </c>
      <c r="AH47" s="13" t="str">
        <f>IF(AND('1. Mapa de Riesgos'!$AA$32="Muy Baja",'1. Mapa de Riesgos'!$AC$32="Catastrófico"),CONCATENATE("R2C",'1. Mapa de Riesgos'!$Q$32),"")</f>
        <v/>
      </c>
      <c r="AI47" s="14" t="str">
        <f>IF(AND('1. Mapa de Riesgos'!$AA$33="Muy Baja",'1. Mapa de Riesgos'!$AC$33="Catastrófico"),CONCATENATE("R2C",'1. Mapa de Riesgos'!$Q$33),"")</f>
        <v/>
      </c>
      <c r="AJ47" s="14" t="str">
        <f>IF(AND('1. Mapa de Riesgos'!$AA$34="Muy Baja",'1. Mapa de Riesgos'!$AC$34="Catastrófico"),CONCATENATE("R2C",'1. Mapa de Riesgos'!$Q$34),"")</f>
        <v/>
      </c>
      <c r="AK47" s="14" t="str">
        <f>IF(AND('1. Mapa de Riesgos'!$AA$35="Muy Baja",'1. Mapa de Riesgos'!$AC$35="Catastrófico"),CONCATENATE("R2C",'1. Mapa de Riesgos'!$Q$35),"")</f>
        <v/>
      </c>
      <c r="AL47" s="14" t="str">
        <f>IF(AND('1. Mapa de Riesgos'!$AA$36="Muy Baja",'1. Mapa de Riesgos'!$AC$36="Catastrófico"),CONCATENATE("R2C",'1. Mapa de Riesgos'!$Q$36),"")</f>
        <v/>
      </c>
      <c r="AM47" s="15" t="str">
        <f>IF(AND('1. Mapa de Riesgos'!$AA$37="Muy Baja",'1. Mapa de Riesgos'!$AC$37="Catastrófico"),CONCATENATE("R2C",'1. Mapa de Riesgos'!$Q$37),"")</f>
        <v/>
      </c>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row>
    <row r="48" spans="1:80" ht="15" customHeight="1" x14ac:dyDescent="0.25">
      <c r="A48" s="41"/>
      <c r="B48" s="474"/>
      <c r="C48" s="474"/>
      <c r="D48" s="475"/>
      <c r="E48" s="531"/>
      <c r="F48" s="516"/>
      <c r="G48" s="516"/>
      <c r="H48" s="516"/>
      <c r="I48" s="517"/>
      <c r="J48" s="34" t="str">
        <f>IF(AND('1. Mapa de Riesgos'!$AA$38="Muy Baja",'1. Mapa de Riesgos'!$AC$38="Leve"),CONCATENATE("R3C",'1. Mapa de Riesgos'!$Q$38),"")</f>
        <v>R3C1</v>
      </c>
      <c r="K48" s="35" t="str">
        <f>IF(AND('1. Mapa de Riesgos'!$AA$39="Muy Baja",'1. Mapa de Riesgos'!$AC$39="Leve"),CONCATENATE("R3C",'1. Mapa de Riesgos'!$Q$39),"")</f>
        <v/>
      </c>
      <c r="L48" s="35" t="str">
        <f>IF(AND('1. Mapa de Riesgos'!$AA$40="Muy Baja",'1. Mapa de Riesgos'!$AC$40="Leve"),CONCATENATE("R3C",'1. Mapa de Riesgos'!$Q$40),"")</f>
        <v/>
      </c>
      <c r="M48" s="35" t="str">
        <f>IF(AND('1. Mapa de Riesgos'!$AA$41="Muy Baja",'1. Mapa de Riesgos'!$AC$41="Leve"),CONCATENATE("R3C",'1. Mapa de Riesgos'!$Q$41),"")</f>
        <v/>
      </c>
      <c r="N48" s="35" t="str">
        <f>IF(AND('1. Mapa de Riesgos'!$AA$42="Muy Baja",'1. Mapa de Riesgos'!$AC$42="Leve"),CONCATENATE("R3C",'1. Mapa de Riesgos'!$Q$42),"")</f>
        <v/>
      </c>
      <c r="O48" s="36" t="str">
        <f>IF(AND('1. Mapa de Riesgos'!$AA$43="Muy Baja",'1. Mapa de Riesgos'!$AC$43="Leve"),CONCATENATE("R3C",'1. Mapa de Riesgos'!$Q$43),"")</f>
        <v/>
      </c>
      <c r="P48" s="34" t="str">
        <f>IF(AND('1. Mapa de Riesgos'!$AA$38="Muy Baja",'1. Mapa de Riesgos'!$AC$38="Menor"),CONCATENATE("R3C",'1. Mapa de Riesgos'!$Q$38),"")</f>
        <v/>
      </c>
      <c r="Q48" s="35" t="str">
        <f>IF(AND('1. Mapa de Riesgos'!$AA$39="Muy Baja",'1. Mapa de Riesgos'!$AC$39="Menor"),CONCATENATE("R3C",'1. Mapa de Riesgos'!$Q$39),"")</f>
        <v/>
      </c>
      <c r="R48" s="35" t="str">
        <f>IF(AND('1. Mapa de Riesgos'!$AA$40="Muy Baja",'1. Mapa de Riesgos'!$AC$40="Menor"),CONCATENATE("R3C",'1. Mapa de Riesgos'!$Q$40),"")</f>
        <v/>
      </c>
      <c r="S48" s="35" t="str">
        <f>IF(AND('1. Mapa de Riesgos'!$AA$41="Muy Baja",'1. Mapa de Riesgos'!$AC$41="Menor"),CONCATENATE("R3C",'1. Mapa de Riesgos'!$Q$41),"")</f>
        <v/>
      </c>
      <c r="T48" s="35" t="str">
        <f>IF(AND('1. Mapa de Riesgos'!$AA$42="Muy Baja",'1. Mapa de Riesgos'!$AC$42="Menor"),CONCATENATE("R3C",'1. Mapa de Riesgos'!$Q$42),"")</f>
        <v/>
      </c>
      <c r="U48" s="36" t="str">
        <f>IF(AND('1. Mapa de Riesgos'!$AA$43="Muy Baja",'1. Mapa de Riesgos'!$AC$43="Menor"),CONCATENATE("R3C",'1. Mapa de Riesgos'!$Q$43),"")</f>
        <v/>
      </c>
      <c r="V48" s="25" t="str">
        <f>IF(AND('1. Mapa de Riesgos'!$AA$38="Muy Baja",'1. Mapa de Riesgos'!$AC$38="Moderado"),CONCATENATE("R3C",'1. Mapa de Riesgos'!$Q$38),"")</f>
        <v/>
      </c>
      <c r="W48" s="26" t="str">
        <f>IF(AND('1. Mapa de Riesgos'!$AA$39="Muy Baja",'1. Mapa de Riesgos'!$AC$39="Moderado"),CONCATENATE("R3C",'1. Mapa de Riesgos'!$Q$39),"")</f>
        <v/>
      </c>
      <c r="X48" s="26" t="str">
        <f>IF(AND('1. Mapa de Riesgos'!$AA$40="Muy Baja",'1. Mapa de Riesgos'!$AC$40="Moderado"),CONCATENATE("R3C",'1. Mapa de Riesgos'!$Q$40),"")</f>
        <v/>
      </c>
      <c r="Y48" s="26" t="str">
        <f>IF(AND('1. Mapa de Riesgos'!$AA$41="Muy Baja",'1. Mapa de Riesgos'!$AC$41="Moderado"),CONCATENATE("R3C",'1. Mapa de Riesgos'!$Q$41),"")</f>
        <v/>
      </c>
      <c r="Z48" s="26" t="str">
        <f>IF(AND('1. Mapa de Riesgos'!$AA$42="Muy Baja",'1. Mapa de Riesgos'!$AC$42="Moderado"),CONCATENATE("R3C",'1. Mapa de Riesgos'!$Q$42),"")</f>
        <v/>
      </c>
      <c r="AA48" s="27" t="str">
        <f>IF(AND('1. Mapa de Riesgos'!$AA$43="Muy Baja",'1. Mapa de Riesgos'!$AC$43="Moderado"),CONCATENATE("R3C",'1. Mapa de Riesgos'!$Q$43),"")</f>
        <v/>
      </c>
      <c r="AB48" s="10" t="str">
        <f>IF(AND('1. Mapa de Riesgos'!$AA$38="Muy Baja",'1. Mapa de Riesgos'!$AC$38="Mayor"),CONCATENATE("R3C",'1. Mapa de Riesgos'!$Q$38),"")</f>
        <v/>
      </c>
      <c r="AC48" s="11" t="str">
        <f>IF(AND('1. Mapa de Riesgos'!$AA$39="Muy Baja",'1. Mapa de Riesgos'!$AC$39="Mayor"),CONCATENATE("R3C",'1. Mapa de Riesgos'!$Q$39),"")</f>
        <v/>
      </c>
      <c r="AD48" s="11" t="str">
        <f>IF(AND('1. Mapa de Riesgos'!$AA$40="Muy Baja",'1. Mapa de Riesgos'!$AC$40="Mayor"),CONCATENATE("R3C",'1. Mapa de Riesgos'!$Q$40),"")</f>
        <v/>
      </c>
      <c r="AE48" s="11" t="str">
        <f>IF(AND('1. Mapa de Riesgos'!$AA$41="Muy Baja",'1. Mapa de Riesgos'!$AC$41="Mayor"),CONCATENATE("R3C",'1. Mapa de Riesgos'!$Q$41),"")</f>
        <v/>
      </c>
      <c r="AF48" s="11" t="str">
        <f>IF(AND('1. Mapa de Riesgos'!$AA$42="Muy Baja",'1. Mapa de Riesgos'!$AC$42="Mayor"),CONCATENATE("R3C",'1. Mapa de Riesgos'!$Q$42),"")</f>
        <v/>
      </c>
      <c r="AG48" s="12" t="str">
        <f>IF(AND('1. Mapa de Riesgos'!$AA$43="Muy Baja",'1. Mapa de Riesgos'!$AC$43="Mayor"),CONCATENATE("R3C",'1. Mapa de Riesgos'!$Q$43),"")</f>
        <v/>
      </c>
      <c r="AH48" s="13" t="str">
        <f>IF(AND('1. Mapa de Riesgos'!$AA$38="Muy Baja",'1. Mapa de Riesgos'!$AC$38="Catastrófico"),CONCATENATE("R3C",'1. Mapa de Riesgos'!$Q$38),"")</f>
        <v/>
      </c>
      <c r="AI48" s="14" t="str">
        <f>IF(AND('1. Mapa de Riesgos'!$AA$39="Muy Baja",'1. Mapa de Riesgos'!$AC$39="Catastrófico"),CONCATENATE("R3C",'1. Mapa de Riesgos'!$Q$39),"")</f>
        <v/>
      </c>
      <c r="AJ48" s="14" t="str">
        <f>IF(AND('1. Mapa de Riesgos'!$AA$40="Muy Baja",'1. Mapa de Riesgos'!$AC$40="Catastrófico"),CONCATENATE("R3C",'1. Mapa de Riesgos'!$Q$40),"")</f>
        <v/>
      </c>
      <c r="AK48" s="14" t="str">
        <f>IF(AND('1. Mapa de Riesgos'!$AA$41="Muy Baja",'1. Mapa de Riesgos'!$AC$41="Catastrófico"),CONCATENATE("R3C",'1. Mapa de Riesgos'!$Q$41),"")</f>
        <v/>
      </c>
      <c r="AL48" s="14" t="str">
        <f>IF(AND('1. Mapa de Riesgos'!$AA$42="Muy Baja",'1. Mapa de Riesgos'!$AC$42="Catastrófico"),CONCATENATE("R3C",'1. Mapa de Riesgos'!$Q$42),"")</f>
        <v/>
      </c>
      <c r="AM48" s="15" t="str">
        <f>IF(AND('1. Mapa de Riesgos'!$AA$43="Muy Baja",'1. Mapa de Riesgos'!$AC$43="Catastrófico"),CONCATENATE("R3C",'1. Mapa de Riesgos'!$Q$43),"")</f>
        <v/>
      </c>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row>
    <row r="49" spans="1:80" ht="15" customHeight="1" x14ac:dyDescent="0.25">
      <c r="A49" s="41"/>
      <c r="B49" s="474"/>
      <c r="C49" s="474"/>
      <c r="D49" s="475"/>
      <c r="E49" s="515"/>
      <c r="F49" s="516"/>
      <c r="G49" s="516"/>
      <c r="H49" s="516"/>
      <c r="I49" s="517"/>
      <c r="J49" s="34" t="str">
        <f>IF(AND('1. Mapa de Riesgos'!$AA$50="Muy Baja",'1. Mapa de Riesgos'!$AC$50="Leve"),CONCATENATE("R4C",'1. Mapa de Riesgos'!$Q$50),"")</f>
        <v>R4C1</v>
      </c>
      <c r="K49" s="35" t="str">
        <f>IF(AND('1. Mapa de Riesgos'!$AA$51="Muy Baja",'1. Mapa de Riesgos'!$AC$51="Leve"),CONCATENATE("R4C",'1. Mapa de Riesgos'!$Q$51),"")</f>
        <v/>
      </c>
      <c r="L49" s="35" t="str">
        <f>IF(AND('1. Mapa de Riesgos'!$AA$52="Muy Baja",'1. Mapa de Riesgos'!$AC$52="Leve"),CONCATENATE("R4C",'1. Mapa de Riesgos'!$Q$52),"")</f>
        <v/>
      </c>
      <c r="M49" s="35" t="str">
        <f>IF(AND('1. Mapa de Riesgos'!$AA$53="Muy Baja",'1. Mapa de Riesgos'!$AC$53="Leve"),CONCATENATE("R4C",'1. Mapa de Riesgos'!$Q$53),"")</f>
        <v/>
      </c>
      <c r="N49" s="35" t="str">
        <f>IF(AND('1. Mapa de Riesgos'!$AA$54="Muy Baja",'1. Mapa de Riesgos'!$AC$54="Leve"),CONCATENATE("R4C",'1. Mapa de Riesgos'!$Q$54),"")</f>
        <v/>
      </c>
      <c r="O49" s="36" t="str">
        <f>IF(AND('1. Mapa de Riesgos'!$AA$55="Muy Baja",'1. Mapa de Riesgos'!$AC$55="Leve"),CONCATENATE("R4C",'1. Mapa de Riesgos'!$Q$55),"")</f>
        <v/>
      </c>
      <c r="P49" s="34" t="str">
        <f>IF(AND('1. Mapa de Riesgos'!$AA$50="Muy Baja",'1. Mapa de Riesgos'!$AC$50="Menor"),CONCATENATE("R4C",'1. Mapa de Riesgos'!$Q$50),"")</f>
        <v/>
      </c>
      <c r="Q49" s="35" t="str">
        <f>IF(AND('1. Mapa de Riesgos'!$AA$51="Muy Baja",'1. Mapa de Riesgos'!$AC$51="Menor"),CONCATENATE("R4C",'1. Mapa de Riesgos'!$Q$51),"")</f>
        <v/>
      </c>
      <c r="R49" s="35" t="str">
        <f>IF(AND('1. Mapa de Riesgos'!$AA$52="Muy Baja",'1. Mapa de Riesgos'!$AC$52="Menor"),CONCATENATE("R4C",'1. Mapa de Riesgos'!$Q$52),"")</f>
        <v/>
      </c>
      <c r="S49" s="35" t="str">
        <f>IF(AND('1. Mapa de Riesgos'!$AA$53="Muy Baja",'1. Mapa de Riesgos'!$AC$53="Menor"),CONCATENATE("R4C",'1. Mapa de Riesgos'!$Q$53),"")</f>
        <v/>
      </c>
      <c r="T49" s="35" t="str">
        <f>IF(AND('1. Mapa de Riesgos'!$AA$54="Muy Baja",'1. Mapa de Riesgos'!$AC$54="Menor"),CONCATENATE("R4C",'1. Mapa de Riesgos'!$Q$54),"")</f>
        <v/>
      </c>
      <c r="U49" s="36" t="str">
        <f>IF(AND('1. Mapa de Riesgos'!$AA$55="Muy Baja",'1. Mapa de Riesgos'!$AC$55="Menor"),CONCATENATE("R4C",'1. Mapa de Riesgos'!$Q$55),"")</f>
        <v/>
      </c>
      <c r="V49" s="25" t="str">
        <f>IF(AND('1. Mapa de Riesgos'!$AA$50="Muy Baja",'1. Mapa de Riesgos'!$AC$50="Moderado"),CONCATENATE("R4C",'1. Mapa de Riesgos'!$Q$50),"")</f>
        <v/>
      </c>
      <c r="W49" s="26" t="str">
        <f>IF(AND('1. Mapa de Riesgos'!$AA$51="Muy Baja",'1. Mapa de Riesgos'!$AC$51="Moderado"),CONCATENATE("R4C",'1. Mapa de Riesgos'!$Q$51),"")</f>
        <v/>
      </c>
      <c r="X49" s="26" t="str">
        <f>IF(AND('1. Mapa de Riesgos'!$AA$52="Muy Baja",'1. Mapa de Riesgos'!$AC$52="Moderado"),CONCATENATE("R4C",'1. Mapa de Riesgos'!$Q$52),"")</f>
        <v/>
      </c>
      <c r="Y49" s="26" t="str">
        <f>IF(AND('1. Mapa de Riesgos'!$AA$53="Muy Baja",'1. Mapa de Riesgos'!$AC$53="Moderado"),CONCATENATE("R4C",'1. Mapa de Riesgos'!$Q$53),"")</f>
        <v/>
      </c>
      <c r="Z49" s="26" t="str">
        <f>IF(AND('1. Mapa de Riesgos'!$AA$54="Muy Baja",'1. Mapa de Riesgos'!$AC$54="Moderado"),CONCATENATE("R4C",'1. Mapa de Riesgos'!$Q$54),"")</f>
        <v/>
      </c>
      <c r="AA49" s="27" t="str">
        <f>IF(AND('1. Mapa de Riesgos'!$AA$55="Muy Baja",'1. Mapa de Riesgos'!$AC$55="Moderado"),CONCATENATE("R4C",'1. Mapa de Riesgos'!$Q$55),"")</f>
        <v/>
      </c>
      <c r="AB49" s="10" t="str">
        <f>IF(AND('1. Mapa de Riesgos'!$AA$50="Muy Baja",'1. Mapa de Riesgos'!$AC$50="Mayor"),CONCATENATE("R4C",'1. Mapa de Riesgos'!$Q$50),"")</f>
        <v/>
      </c>
      <c r="AC49" s="11" t="str">
        <f>IF(AND('1. Mapa de Riesgos'!$AA$51="Muy Baja",'1. Mapa de Riesgos'!$AC$51="Mayor"),CONCATENATE("R4C",'1. Mapa de Riesgos'!$Q$51),"")</f>
        <v/>
      </c>
      <c r="AD49" s="11" t="str">
        <f>IF(AND('1. Mapa de Riesgos'!$AA$52="Muy Baja",'1. Mapa de Riesgos'!$AC$52="Mayor"),CONCATENATE("R4C",'1. Mapa de Riesgos'!$Q$52),"")</f>
        <v/>
      </c>
      <c r="AE49" s="11" t="str">
        <f>IF(AND('1. Mapa de Riesgos'!$AA$53="Muy Baja",'1. Mapa de Riesgos'!$AC$53="Mayor"),CONCATENATE("R4C",'1. Mapa de Riesgos'!$Q$53),"")</f>
        <v/>
      </c>
      <c r="AF49" s="11" t="str">
        <f>IF(AND('1. Mapa de Riesgos'!$AA$54="Muy Baja",'1. Mapa de Riesgos'!$AC$54="Mayor"),CONCATENATE("R4C",'1. Mapa de Riesgos'!$Q$54),"")</f>
        <v/>
      </c>
      <c r="AG49" s="12" t="str">
        <f>IF(AND('1. Mapa de Riesgos'!$AA$55="Muy Baja",'1. Mapa de Riesgos'!$AC$55="Mayor"),CONCATENATE("R4C",'1. Mapa de Riesgos'!$Q$55),"")</f>
        <v/>
      </c>
      <c r="AH49" s="13" t="str">
        <f>IF(AND('1. Mapa de Riesgos'!$AA$50="Muy Baja",'1. Mapa de Riesgos'!$AC$50="Catastrófico"),CONCATENATE("R4C",'1. Mapa de Riesgos'!$Q$50),"")</f>
        <v/>
      </c>
      <c r="AI49" s="14" t="str">
        <f>IF(AND('1. Mapa de Riesgos'!$AA$51="Muy Baja",'1. Mapa de Riesgos'!$AC$51="Catastrófico"),CONCATENATE("R4C",'1. Mapa de Riesgos'!$Q$51),"")</f>
        <v/>
      </c>
      <c r="AJ49" s="14" t="str">
        <f>IF(AND('1. Mapa de Riesgos'!$AA$52="Muy Baja",'1. Mapa de Riesgos'!$AC$52="Catastrófico"),CONCATENATE("R4C",'1. Mapa de Riesgos'!$Q$52),"")</f>
        <v/>
      </c>
      <c r="AK49" s="14" t="str">
        <f>IF(AND('1. Mapa de Riesgos'!$AA$53="Muy Baja",'1. Mapa de Riesgos'!$AC$53="Catastrófico"),CONCATENATE("R4C",'1. Mapa de Riesgos'!$Q$53),"")</f>
        <v/>
      </c>
      <c r="AL49" s="14" t="str">
        <f>IF(AND('1. Mapa de Riesgos'!$AA$54="Muy Baja",'1. Mapa de Riesgos'!$AC$54="Catastrófico"),CONCATENATE("R4C",'1. Mapa de Riesgos'!$Q$54),"")</f>
        <v/>
      </c>
      <c r="AM49" s="15" t="str">
        <f>IF(AND('1. Mapa de Riesgos'!$AA$55="Muy Baja",'1. Mapa de Riesgos'!$AC$55="Catastrófico"),CONCATENATE("R4C",'1. Mapa de Riesgos'!$Q$55),"")</f>
        <v/>
      </c>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row>
    <row r="50" spans="1:80" ht="15" customHeight="1" x14ac:dyDescent="0.25">
      <c r="A50" s="41"/>
      <c r="B50" s="474"/>
      <c r="C50" s="474"/>
      <c r="D50" s="475"/>
      <c r="E50" s="515"/>
      <c r="F50" s="516"/>
      <c r="G50" s="516"/>
      <c r="H50" s="516"/>
      <c r="I50" s="517"/>
      <c r="J50" s="34" t="e">
        <f>IF(AND('1. Mapa de Riesgos'!#REF!="Muy Baja",'1. Mapa de Riesgos'!#REF!="Leve"),CONCATENATE("R5C",'1. Mapa de Riesgos'!#REF!),"")</f>
        <v>#REF!</v>
      </c>
      <c r="K50" s="35" t="e">
        <f>IF(AND('1. Mapa de Riesgos'!#REF!="Muy Baja",'1. Mapa de Riesgos'!#REF!="Leve"),CONCATENATE("R5C",'1. Mapa de Riesgos'!#REF!),"")</f>
        <v>#REF!</v>
      </c>
      <c r="L50" s="35" t="e">
        <f>IF(AND('1. Mapa de Riesgos'!#REF!="Muy Baja",'1. Mapa de Riesgos'!#REF!="Leve"),CONCATENATE("R5C",'1. Mapa de Riesgos'!#REF!),"")</f>
        <v>#REF!</v>
      </c>
      <c r="M50" s="35" t="e">
        <f>IF(AND('1. Mapa de Riesgos'!#REF!="Muy Baja",'1. Mapa de Riesgos'!#REF!="Leve"),CONCATENATE("R5C",'1. Mapa de Riesgos'!#REF!),"")</f>
        <v>#REF!</v>
      </c>
      <c r="N50" s="35" t="e">
        <f>IF(AND('1. Mapa de Riesgos'!#REF!="Muy Baja",'1. Mapa de Riesgos'!#REF!="Leve"),CONCATENATE("R5C",'1. Mapa de Riesgos'!#REF!),"")</f>
        <v>#REF!</v>
      </c>
      <c r="O50" s="36" t="e">
        <f>IF(AND('1. Mapa de Riesgos'!#REF!="Muy Baja",'1. Mapa de Riesgos'!#REF!="Leve"),CONCATENATE("R5C",'1. Mapa de Riesgos'!#REF!),"")</f>
        <v>#REF!</v>
      </c>
      <c r="P50" s="34" t="e">
        <f>IF(AND('1. Mapa de Riesgos'!#REF!="Muy Baja",'1. Mapa de Riesgos'!#REF!="Menor"),CONCATENATE("R5C",'1. Mapa de Riesgos'!#REF!),"")</f>
        <v>#REF!</v>
      </c>
      <c r="Q50" s="35" t="e">
        <f>IF(AND('1. Mapa de Riesgos'!#REF!="Muy Baja",'1. Mapa de Riesgos'!#REF!="Menor"),CONCATENATE("R5C",'1. Mapa de Riesgos'!#REF!),"")</f>
        <v>#REF!</v>
      </c>
      <c r="R50" s="35" t="e">
        <f>IF(AND('1. Mapa de Riesgos'!#REF!="Muy Baja",'1. Mapa de Riesgos'!#REF!="Menor"),CONCATENATE("R5C",'1. Mapa de Riesgos'!#REF!),"")</f>
        <v>#REF!</v>
      </c>
      <c r="S50" s="35" t="e">
        <f>IF(AND('1. Mapa de Riesgos'!#REF!="Muy Baja",'1. Mapa de Riesgos'!#REF!="Menor"),CONCATENATE("R5C",'1. Mapa de Riesgos'!#REF!),"")</f>
        <v>#REF!</v>
      </c>
      <c r="T50" s="35" t="e">
        <f>IF(AND('1. Mapa de Riesgos'!#REF!="Muy Baja",'1. Mapa de Riesgos'!#REF!="Menor"),CONCATENATE("R5C",'1. Mapa de Riesgos'!#REF!),"")</f>
        <v>#REF!</v>
      </c>
      <c r="U50" s="36" t="e">
        <f>IF(AND('1. Mapa de Riesgos'!#REF!="Muy Baja",'1. Mapa de Riesgos'!#REF!="Menor"),CONCATENATE("R5C",'1. Mapa de Riesgos'!#REF!),"")</f>
        <v>#REF!</v>
      </c>
      <c r="V50" s="25" t="e">
        <f>IF(AND('1. Mapa de Riesgos'!#REF!="Muy Baja",'1. Mapa de Riesgos'!#REF!="Moderado"),CONCATENATE("R5C",'1. Mapa de Riesgos'!#REF!),"")</f>
        <v>#REF!</v>
      </c>
      <c r="W50" s="26" t="e">
        <f>IF(AND('1. Mapa de Riesgos'!#REF!="Muy Baja",'1. Mapa de Riesgos'!#REF!="Moderado"),CONCATENATE("R5C",'1. Mapa de Riesgos'!#REF!),"")</f>
        <v>#REF!</v>
      </c>
      <c r="X50" s="26" t="e">
        <f>IF(AND('1. Mapa de Riesgos'!#REF!="Muy Baja",'1. Mapa de Riesgos'!#REF!="Moderado"),CONCATENATE("R5C",'1. Mapa de Riesgos'!#REF!),"")</f>
        <v>#REF!</v>
      </c>
      <c r="Y50" s="26" t="e">
        <f>IF(AND('1. Mapa de Riesgos'!#REF!="Muy Baja",'1. Mapa de Riesgos'!#REF!="Moderado"),CONCATENATE("R5C",'1. Mapa de Riesgos'!#REF!),"")</f>
        <v>#REF!</v>
      </c>
      <c r="Z50" s="26" t="e">
        <f>IF(AND('1. Mapa de Riesgos'!#REF!="Muy Baja",'1. Mapa de Riesgos'!#REF!="Moderado"),CONCATENATE("R5C",'1. Mapa de Riesgos'!#REF!),"")</f>
        <v>#REF!</v>
      </c>
      <c r="AA50" s="27" t="e">
        <f>IF(AND('1. Mapa de Riesgos'!#REF!="Muy Baja",'1. Mapa de Riesgos'!#REF!="Moderado"),CONCATENATE("R5C",'1. Mapa de Riesgos'!#REF!),"")</f>
        <v>#REF!</v>
      </c>
      <c r="AB50" s="10" t="e">
        <f>IF(AND('1. Mapa de Riesgos'!#REF!="Muy Baja",'1. Mapa de Riesgos'!#REF!="Mayor"),CONCATENATE("R5C",'1. Mapa de Riesgos'!#REF!),"")</f>
        <v>#REF!</v>
      </c>
      <c r="AC50" s="11" t="e">
        <f>IF(AND('1. Mapa de Riesgos'!#REF!="Muy Baja",'1. Mapa de Riesgos'!#REF!="Mayor"),CONCATENATE("R5C",'1. Mapa de Riesgos'!#REF!),"")</f>
        <v>#REF!</v>
      </c>
      <c r="AD50" s="11" t="e">
        <f>IF(AND('1. Mapa de Riesgos'!#REF!="Muy Baja",'1. Mapa de Riesgos'!#REF!="Mayor"),CONCATENATE("R5C",'1. Mapa de Riesgos'!#REF!),"")</f>
        <v>#REF!</v>
      </c>
      <c r="AE50" s="11" t="e">
        <f>IF(AND('1. Mapa de Riesgos'!#REF!="Muy Baja",'1. Mapa de Riesgos'!#REF!="Mayor"),CONCATENATE("R5C",'1. Mapa de Riesgos'!#REF!),"")</f>
        <v>#REF!</v>
      </c>
      <c r="AF50" s="11" t="e">
        <f>IF(AND('1. Mapa de Riesgos'!#REF!="Muy Baja",'1. Mapa de Riesgos'!#REF!="Mayor"),CONCATENATE("R5C",'1. Mapa de Riesgos'!#REF!),"")</f>
        <v>#REF!</v>
      </c>
      <c r="AG50" s="12" t="e">
        <f>IF(AND('1. Mapa de Riesgos'!#REF!="Muy Baja",'1. Mapa de Riesgos'!#REF!="Mayor"),CONCATENATE("R5C",'1. Mapa de Riesgos'!#REF!),"")</f>
        <v>#REF!</v>
      </c>
      <c r="AH50" s="13" t="e">
        <f>IF(AND('1. Mapa de Riesgos'!#REF!="Muy Baja",'1. Mapa de Riesgos'!#REF!="Catastrófico"),CONCATENATE("R5C",'1. Mapa de Riesgos'!#REF!),"")</f>
        <v>#REF!</v>
      </c>
      <c r="AI50" s="14" t="e">
        <f>IF(AND('1. Mapa de Riesgos'!#REF!="Muy Baja",'1. Mapa de Riesgos'!#REF!="Catastrófico"),CONCATENATE("R5C",'1. Mapa de Riesgos'!#REF!),"")</f>
        <v>#REF!</v>
      </c>
      <c r="AJ50" s="14" t="e">
        <f>IF(AND('1. Mapa de Riesgos'!#REF!="Muy Baja",'1. Mapa de Riesgos'!#REF!="Catastrófico"),CONCATENATE("R5C",'1. Mapa de Riesgos'!#REF!),"")</f>
        <v>#REF!</v>
      </c>
      <c r="AK50" s="14" t="e">
        <f>IF(AND('1. Mapa de Riesgos'!#REF!="Muy Baja",'1. Mapa de Riesgos'!#REF!="Catastrófico"),CONCATENATE("R5C",'1. Mapa de Riesgos'!#REF!),"")</f>
        <v>#REF!</v>
      </c>
      <c r="AL50" s="14" t="e">
        <f>IF(AND('1. Mapa de Riesgos'!#REF!="Muy Baja",'1. Mapa de Riesgos'!#REF!="Catastrófico"),CONCATENATE("R5C",'1. Mapa de Riesgos'!#REF!),"")</f>
        <v>#REF!</v>
      </c>
      <c r="AM50" s="15" t="e">
        <f>IF(AND('1. Mapa de Riesgos'!#REF!="Muy Baja",'1. Mapa de Riesgos'!#REF!="Catastrófico"),CONCATENATE("R5C",'1. Mapa de Riesgos'!#REF!),"")</f>
        <v>#REF!</v>
      </c>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row>
    <row r="51" spans="1:80" ht="15" customHeight="1" x14ac:dyDescent="0.25">
      <c r="A51" s="41"/>
      <c r="B51" s="474"/>
      <c r="C51" s="474"/>
      <c r="D51" s="475"/>
      <c r="E51" s="515"/>
      <c r="F51" s="516"/>
      <c r="G51" s="516"/>
      <c r="H51" s="516"/>
      <c r="I51" s="517"/>
      <c r="J51" s="34" t="str">
        <f>IF(AND('1. Mapa de Riesgos'!$AA$56="Muy Baja",'1. Mapa de Riesgos'!$AC$56="Leve"),CONCATENATE("R6C",'1. Mapa de Riesgos'!$Q$56),"")</f>
        <v/>
      </c>
      <c r="K51" s="35" t="str">
        <f>IF(AND('1. Mapa de Riesgos'!$AA$57="Muy Baja",'1. Mapa de Riesgos'!$AC$57="Leve"),CONCATENATE("R6C",'1. Mapa de Riesgos'!$Q$57),"")</f>
        <v/>
      </c>
      <c r="L51" s="35" t="str">
        <f>IF(AND('1. Mapa de Riesgos'!$AA$58="Muy Baja",'1. Mapa de Riesgos'!$AC$58="Leve"),CONCATENATE("R6C",'1. Mapa de Riesgos'!$Q$58),"")</f>
        <v/>
      </c>
      <c r="M51" s="35" t="str">
        <f>IF(AND('1. Mapa de Riesgos'!$AA$59="Muy Baja",'1. Mapa de Riesgos'!$AC$59="Leve"),CONCATENATE("R6C",'1. Mapa de Riesgos'!$Q$59),"")</f>
        <v>R6C4</v>
      </c>
      <c r="N51" s="35" t="str">
        <f>IF(AND('1. Mapa de Riesgos'!$AA$60="Muy Baja",'1. Mapa de Riesgos'!$AC$60="Leve"),CONCATENATE("R6C",'1. Mapa de Riesgos'!$Q$60),"")</f>
        <v/>
      </c>
      <c r="O51" s="36" t="str">
        <f>IF(AND('1. Mapa de Riesgos'!$AA$61="Muy Baja",'1. Mapa de Riesgos'!$AC$61="Leve"),CONCATENATE("R6C",'1. Mapa de Riesgos'!$Q$61),"")</f>
        <v/>
      </c>
      <c r="P51" s="34" t="str">
        <f>IF(AND('1. Mapa de Riesgos'!$AA$56="Muy Baja",'1. Mapa de Riesgos'!$AC$56="Menor"),CONCATENATE("R6C",'1. Mapa de Riesgos'!$Q$56),"")</f>
        <v>R6C1</v>
      </c>
      <c r="Q51" s="35" t="str">
        <f>IF(AND('1. Mapa de Riesgos'!$AA$57="Muy Baja",'1. Mapa de Riesgos'!$AC$57="Menor"),CONCATENATE("R6C",'1. Mapa de Riesgos'!$Q$57),"")</f>
        <v>R6C2</v>
      </c>
      <c r="R51" s="35" t="str">
        <f>IF(AND('1. Mapa de Riesgos'!$AA$58="Muy Baja",'1. Mapa de Riesgos'!$AC$58="Menor"),CONCATENATE("R6C",'1. Mapa de Riesgos'!$Q$58),"")</f>
        <v>R6C3</v>
      </c>
      <c r="S51" s="35" t="str">
        <f>IF(AND('1. Mapa de Riesgos'!$AA$59="Muy Baja",'1. Mapa de Riesgos'!$AC$59="Menor"),CONCATENATE("R6C",'1. Mapa de Riesgos'!$Q$59),"")</f>
        <v/>
      </c>
      <c r="T51" s="35" t="str">
        <f>IF(AND('1. Mapa de Riesgos'!$AA$60="Muy Baja",'1. Mapa de Riesgos'!$AC$60="Menor"),CONCATENATE("R6C",'1. Mapa de Riesgos'!$Q$60),"")</f>
        <v/>
      </c>
      <c r="U51" s="36" t="str">
        <f>IF(AND('1. Mapa de Riesgos'!$AA$61="Muy Baja",'1. Mapa de Riesgos'!$AC$61="Menor"),CONCATENATE("R6C",'1. Mapa de Riesgos'!$Q$61),"")</f>
        <v/>
      </c>
      <c r="V51" s="25" t="str">
        <f>IF(AND('1. Mapa de Riesgos'!$AA$56="Muy Baja",'1. Mapa de Riesgos'!$AC$56="Moderado"),CONCATENATE("R6C",'1. Mapa de Riesgos'!$Q$56),"")</f>
        <v/>
      </c>
      <c r="W51" s="26" t="str">
        <f>IF(AND('1. Mapa de Riesgos'!$AA$57="Muy Baja",'1. Mapa de Riesgos'!$AC$57="Moderado"),CONCATENATE("R6C",'1. Mapa de Riesgos'!$Q$57),"")</f>
        <v/>
      </c>
      <c r="X51" s="26" t="str">
        <f>IF(AND('1. Mapa de Riesgos'!$AA$58="Muy Baja",'1. Mapa de Riesgos'!$AC$58="Moderado"),CONCATENATE("R6C",'1. Mapa de Riesgos'!$Q$58),"")</f>
        <v/>
      </c>
      <c r="Y51" s="26" t="str">
        <f>IF(AND('1. Mapa de Riesgos'!$AA$59="Muy Baja",'1. Mapa de Riesgos'!$AC$59="Moderado"),CONCATENATE("R6C",'1. Mapa de Riesgos'!$Q$59),"")</f>
        <v/>
      </c>
      <c r="Z51" s="26" t="str">
        <f>IF(AND('1. Mapa de Riesgos'!$AA$60="Muy Baja",'1. Mapa de Riesgos'!$AC$60="Moderado"),CONCATENATE("R6C",'1. Mapa de Riesgos'!$Q$60),"")</f>
        <v/>
      </c>
      <c r="AA51" s="27" t="str">
        <f>IF(AND('1. Mapa de Riesgos'!$AA$61="Muy Baja",'1. Mapa de Riesgos'!$AC$61="Moderado"),CONCATENATE("R6C",'1. Mapa de Riesgos'!$Q$61),"")</f>
        <v/>
      </c>
      <c r="AB51" s="10" t="str">
        <f>IF(AND('1. Mapa de Riesgos'!$AA$56="Muy Baja",'1. Mapa de Riesgos'!$AC$56="Mayor"),CONCATENATE("R6C",'1. Mapa de Riesgos'!$Q$56),"")</f>
        <v/>
      </c>
      <c r="AC51" s="11" t="str">
        <f>IF(AND('1. Mapa de Riesgos'!$AA$57="Muy Baja",'1. Mapa de Riesgos'!$AC$57="Mayor"),CONCATENATE("R6C",'1. Mapa de Riesgos'!$Q$57),"")</f>
        <v/>
      </c>
      <c r="AD51" s="11" t="str">
        <f>IF(AND('1. Mapa de Riesgos'!$AA$58="Muy Baja",'1. Mapa de Riesgos'!$AC$58="Mayor"),CONCATENATE("R6C",'1. Mapa de Riesgos'!$Q$58),"")</f>
        <v/>
      </c>
      <c r="AE51" s="11" t="str">
        <f>IF(AND('1. Mapa de Riesgos'!$AA$59="Muy Baja",'1. Mapa de Riesgos'!$AC$59="Mayor"),CONCATENATE("R6C",'1. Mapa de Riesgos'!$Q$59),"")</f>
        <v/>
      </c>
      <c r="AF51" s="11" t="str">
        <f>IF(AND('1. Mapa de Riesgos'!$AA$60="Muy Baja",'1. Mapa de Riesgos'!$AC$60="Mayor"),CONCATENATE("R6C",'1. Mapa de Riesgos'!$Q$60),"")</f>
        <v/>
      </c>
      <c r="AG51" s="12" t="str">
        <f>IF(AND('1. Mapa de Riesgos'!$AA$61="Muy Baja",'1. Mapa de Riesgos'!$AC$61="Mayor"),CONCATENATE("R6C",'1. Mapa de Riesgos'!$Q$61),"")</f>
        <v/>
      </c>
      <c r="AH51" s="13" t="str">
        <f>IF(AND('1. Mapa de Riesgos'!$AA$56="Muy Baja",'1. Mapa de Riesgos'!$AC$56="Catastrófico"),CONCATENATE("R6C",'1. Mapa de Riesgos'!$Q$56),"")</f>
        <v/>
      </c>
      <c r="AI51" s="14" t="str">
        <f>IF(AND('1. Mapa de Riesgos'!$AA$57="Muy Baja",'1. Mapa de Riesgos'!$AC$57="Catastrófico"),CONCATENATE("R6C",'1. Mapa de Riesgos'!$Q$57),"")</f>
        <v/>
      </c>
      <c r="AJ51" s="14" t="str">
        <f>IF(AND('1. Mapa de Riesgos'!$AA$58="Muy Baja",'1. Mapa de Riesgos'!$AC$58="Catastrófico"),CONCATENATE("R6C",'1. Mapa de Riesgos'!$Q$58),"")</f>
        <v/>
      </c>
      <c r="AK51" s="14" t="str">
        <f>IF(AND('1. Mapa de Riesgos'!$AA$59="Muy Baja",'1. Mapa de Riesgos'!$AC$59="Catastrófico"),CONCATENATE("R6C",'1. Mapa de Riesgos'!$Q$59),"")</f>
        <v/>
      </c>
      <c r="AL51" s="14" t="str">
        <f>IF(AND('1. Mapa de Riesgos'!$AA$60="Muy Baja",'1. Mapa de Riesgos'!$AC$60="Catastrófico"),CONCATENATE("R6C",'1. Mapa de Riesgos'!$Q$60),"")</f>
        <v/>
      </c>
      <c r="AM51" s="15" t="str">
        <f>IF(AND('1. Mapa de Riesgos'!$AA$61="Muy Baja",'1. Mapa de Riesgos'!$AC$61="Catastrófico"),CONCATENATE("R6C",'1. Mapa de Riesgos'!$Q$61),"")</f>
        <v/>
      </c>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row>
    <row r="52" spans="1:80" ht="15" customHeight="1" x14ac:dyDescent="0.25">
      <c r="A52" s="41"/>
      <c r="B52" s="474"/>
      <c r="C52" s="474"/>
      <c r="D52" s="475"/>
      <c r="E52" s="515"/>
      <c r="F52" s="516"/>
      <c r="G52" s="516"/>
      <c r="H52" s="516"/>
      <c r="I52" s="517"/>
      <c r="J52" s="34" t="str">
        <f>IF(AND('1. Mapa de Riesgos'!$AA$26="Muy Baja",'1. Mapa de Riesgos'!$AC$26="Leve"),CONCATENATE("R7C",'1. Mapa de Riesgos'!$Q$26),"")</f>
        <v>R7C1</v>
      </c>
      <c r="K52" s="35" t="str">
        <f>IF(AND('1. Mapa de Riesgos'!$AA$27="Muy Baja",'1. Mapa de Riesgos'!$AC$27="Leve"),CONCATENATE("R7C",'1. Mapa de Riesgos'!$Q$27),"")</f>
        <v/>
      </c>
      <c r="L52" s="35" t="str">
        <f>IF(AND('1. Mapa de Riesgos'!$AA$28="Muy Baja",'1. Mapa de Riesgos'!$AC$28="Leve"),CONCATENATE("R7C",'1. Mapa de Riesgos'!$Q$28),"")</f>
        <v/>
      </c>
      <c r="M52" s="35" t="str">
        <f>IF(AND('1. Mapa de Riesgos'!$AA$29="Muy Baja",'1. Mapa de Riesgos'!$AC$29="Leve"),CONCATENATE("R7C",'1. Mapa de Riesgos'!$Q$29),"")</f>
        <v/>
      </c>
      <c r="N52" s="35" t="str">
        <f>IF(AND('1. Mapa de Riesgos'!$AA$30="Muy Baja",'1. Mapa de Riesgos'!$AC$30="Leve"),CONCATENATE("R7C",'1. Mapa de Riesgos'!$Q$30),"")</f>
        <v/>
      </c>
      <c r="O52" s="36" t="str">
        <f>IF(AND('1. Mapa de Riesgos'!$AA$31="Muy Baja",'1. Mapa de Riesgos'!$AC$31="Leve"),CONCATENATE("R7C",'1. Mapa de Riesgos'!$Q$31),"")</f>
        <v/>
      </c>
      <c r="P52" s="34" t="str">
        <f>IF(AND('1. Mapa de Riesgos'!$AA$26="Muy Baja",'1. Mapa de Riesgos'!$AC$26="Menor"),CONCATENATE("R7C",'1. Mapa de Riesgos'!$Q$26),"")</f>
        <v/>
      </c>
      <c r="Q52" s="35" t="str">
        <f>IF(AND('1. Mapa de Riesgos'!$AA$27="Muy Baja",'1. Mapa de Riesgos'!$AC$27="Menor"),CONCATENATE("R7C",'1. Mapa de Riesgos'!$Q$27),"")</f>
        <v/>
      </c>
      <c r="R52" s="35" t="str">
        <f>IF(AND('1. Mapa de Riesgos'!$AA$28="Muy Baja",'1. Mapa de Riesgos'!$AC$28="Menor"),CONCATENATE("R7C",'1. Mapa de Riesgos'!$Q$28),"")</f>
        <v/>
      </c>
      <c r="S52" s="35" t="str">
        <f>IF(AND('1. Mapa de Riesgos'!$AA$29="Muy Baja",'1. Mapa de Riesgos'!$AC$29="Menor"),CONCATENATE("R7C",'1. Mapa de Riesgos'!$Q$29),"")</f>
        <v/>
      </c>
      <c r="T52" s="35" t="str">
        <f>IF(AND('1. Mapa de Riesgos'!$AA$30="Muy Baja",'1. Mapa de Riesgos'!$AC$30="Menor"),CONCATENATE("R7C",'1. Mapa de Riesgos'!$Q$30),"")</f>
        <v/>
      </c>
      <c r="U52" s="36" t="str">
        <f>IF(AND('1. Mapa de Riesgos'!$AA$31="Muy Baja",'1. Mapa de Riesgos'!$AC$31="Menor"),CONCATENATE("R7C",'1. Mapa de Riesgos'!$Q$31),"")</f>
        <v/>
      </c>
      <c r="V52" s="25" t="str">
        <f>IF(AND('1. Mapa de Riesgos'!$AA$26="Muy Baja",'1. Mapa de Riesgos'!$AC$26="Moderado"),CONCATENATE("R7C",'1. Mapa de Riesgos'!$Q$26),"")</f>
        <v/>
      </c>
      <c r="W52" s="26" t="str">
        <f>IF(AND('1. Mapa de Riesgos'!$AA$27="Muy Baja",'1. Mapa de Riesgos'!$AC$27="Moderado"),CONCATENATE("R7C",'1. Mapa de Riesgos'!$Q$27),"")</f>
        <v/>
      </c>
      <c r="X52" s="26" t="str">
        <f>IF(AND('1. Mapa de Riesgos'!$AA$28="Muy Baja",'1. Mapa de Riesgos'!$AC$28="Moderado"),CONCATENATE("R7C",'1. Mapa de Riesgos'!$Q$28),"")</f>
        <v/>
      </c>
      <c r="Y52" s="26" t="str">
        <f>IF(AND('1. Mapa de Riesgos'!$AA$29="Muy Baja",'1. Mapa de Riesgos'!$AC$29="Moderado"),CONCATENATE("R7C",'1. Mapa de Riesgos'!$Q$29),"")</f>
        <v/>
      </c>
      <c r="Z52" s="26" t="str">
        <f>IF(AND('1. Mapa de Riesgos'!$AA$30="Muy Baja",'1. Mapa de Riesgos'!$AC$30="Moderado"),CONCATENATE("R7C",'1. Mapa de Riesgos'!$Q$30),"")</f>
        <v/>
      </c>
      <c r="AA52" s="27" t="str">
        <f>IF(AND('1. Mapa de Riesgos'!$AA$31="Muy Baja",'1. Mapa de Riesgos'!$AC$31="Moderado"),CONCATENATE("R7C",'1. Mapa de Riesgos'!$Q$31),"")</f>
        <v/>
      </c>
      <c r="AB52" s="10" t="str">
        <f>IF(AND('1. Mapa de Riesgos'!$AA$26="Muy Baja",'1. Mapa de Riesgos'!$AC$26="Mayor"),CONCATENATE("R7C",'1. Mapa de Riesgos'!$Q$26),"")</f>
        <v/>
      </c>
      <c r="AC52" s="11" t="str">
        <f>IF(AND('1. Mapa de Riesgos'!$AA$27="Muy Baja",'1. Mapa de Riesgos'!$AC$27="Mayor"),CONCATENATE("R7C",'1. Mapa de Riesgos'!$Q$27),"")</f>
        <v/>
      </c>
      <c r="AD52" s="11" t="str">
        <f>IF(AND('1. Mapa de Riesgos'!$AA$28="Muy Baja",'1. Mapa de Riesgos'!$AC$28="Mayor"),CONCATENATE("R7C",'1. Mapa de Riesgos'!$Q$28),"")</f>
        <v/>
      </c>
      <c r="AE52" s="11" t="str">
        <f>IF(AND('1. Mapa de Riesgos'!$AA$29="Muy Baja",'1. Mapa de Riesgos'!$AC$29="Mayor"),CONCATENATE("R7C",'1. Mapa de Riesgos'!$Q$29),"")</f>
        <v/>
      </c>
      <c r="AF52" s="11" t="str">
        <f>IF(AND('1. Mapa de Riesgos'!$AA$30="Muy Baja",'1. Mapa de Riesgos'!$AC$30="Mayor"),CONCATENATE("R7C",'1. Mapa de Riesgos'!$Q$30),"")</f>
        <v/>
      </c>
      <c r="AG52" s="12" t="str">
        <f>IF(AND('1. Mapa de Riesgos'!$AA$31="Muy Baja",'1. Mapa de Riesgos'!$AC$31="Mayor"),CONCATENATE("R7C",'1. Mapa de Riesgos'!$Q$31),"")</f>
        <v/>
      </c>
      <c r="AH52" s="13" t="str">
        <f>IF(AND('1. Mapa de Riesgos'!$AA$26="Muy Baja",'1. Mapa de Riesgos'!$AC$26="Catastrófico"),CONCATENATE("R7C",'1. Mapa de Riesgos'!$Q$26),"")</f>
        <v/>
      </c>
      <c r="AI52" s="14" t="str">
        <f>IF(AND('1. Mapa de Riesgos'!$AA$27="Muy Baja",'1. Mapa de Riesgos'!$AC$27="Catastrófico"),CONCATENATE("R7C",'1. Mapa de Riesgos'!$Q$27),"")</f>
        <v/>
      </c>
      <c r="AJ52" s="14" t="str">
        <f>IF(AND('1. Mapa de Riesgos'!$AA$28="Muy Baja",'1. Mapa de Riesgos'!$AC$28="Catastrófico"),CONCATENATE("R7C",'1. Mapa de Riesgos'!$Q$28),"")</f>
        <v/>
      </c>
      <c r="AK52" s="14" t="str">
        <f>IF(AND('1. Mapa de Riesgos'!$AA$29="Muy Baja",'1. Mapa de Riesgos'!$AC$29="Catastrófico"),CONCATENATE("R7C",'1. Mapa de Riesgos'!$Q$29),"")</f>
        <v/>
      </c>
      <c r="AL52" s="14" t="str">
        <f>IF(AND('1. Mapa de Riesgos'!$AA$30="Muy Baja",'1. Mapa de Riesgos'!$AC$30="Catastrófico"),CONCATENATE("R7C",'1. Mapa de Riesgos'!$Q$30),"")</f>
        <v/>
      </c>
      <c r="AM52" s="15" t="str">
        <f>IF(AND('1. Mapa de Riesgos'!$AA$31="Muy Baja",'1. Mapa de Riesgos'!$AC$31="Catastrófico"),CONCATENATE("R7C",'1. Mapa de Riesgos'!$Q$31),"")</f>
        <v/>
      </c>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row>
    <row r="53" spans="1:80" ht="15" customHeight="1" x14ac:dyDescent="0.25">
      <c r="A53" s="41"/>
      <c r="B53" s="474"/>
      <c r="C53" s="474"/>
      <c r="D53" s="475"/>
      <c r="E53" s="515"/>
      <c r="F53" s="516"/>
      <c r="G53" s="516"/>
      <c r="H53" s="516"/>
      <c r="I53" s="517"/>
      <c r="J53" s="34" t="str">
        <f>IF(AND('1. Mapa de Riesgos'!$AA$20="Muy Baja",'1. Mapa de Riesgos'!$AC$20="Leve"),CONCATENATE("R8C",'1. Mapa de Riesgos'!$Q$20),"")</f>
        <v>R8C1</v>
      </c>
      <c r="K53" s="35" t="str">
        <f>IF(AND('1. Mapa de Riesgos'!$AA$21="Muy Baja",'1. Mapa de Riesgos'!$AC$21="Leve"),CONCATENATE("R8C",'1. Mapa de Riesgos'!$Q$21),"")</f>
        <v/>
      </c>
      <c r="L53" s="35" t="str">
        <f>IF(AND('1. Mapa de Riesgos'!$AA$22="Muy Baja",'1. Mapa de Riesgos'!$AC$22="Leve"),CONCATENATE("R8C",'1. Mapa de Riesgos'!$Q$22),"")</f>
        <v/>
      </c>
      <c r="M53" s="35" t="str">
        <f>IF(AND('1. Mapa de Riesgos'!$AA$23="Muy Baja",'1. Mapa de Riesgos'!$AC$23="Leve"),CONCATENATE("R8C",'1. Mapa de Riesgos'!$Q$23),"")</f>
        <v/>
      </c>
      <c r="N53" s="35" t="str">
        <f>IF(AND('1. Mapa de Riesgos'!$AA$24="Muy Baja",'1. Mapa de Riesgos'!$AC$24="Leve"),CONCATENATE("R8C",'1. Mapa de Riesgos'!$Q$24),"")</f>
        <v/>
      </c>
      <c r="O53" s="36" t="str">
        <f>IF(AND('1. Mapa de Riesgos'!$AA$25="Muy Baja",'1. Mapa de Riesgos'!$AC$25="Leve"),CONCATENATE("R8C",'1. Mapa de Riesgos'!$Q$25),"")</f>
        <v/>
      </c>
      <c r="P53" s="34" t="str">
        <f>IF(AND('1. Mapa de Riesgos'!$AA$20="Muy Baja",'1. Mapa de Riesgos'!$AC$20="Menor"),CONCATENATE("R8C",'1. Mapa de Riesgos'!$Q$20),"")</f>
        <v/>
      </c>
      <c r="Q53" s="35" t="str">
        <f>IF(AND('1. Mapa de Riesgos'!$AA$21="Muy Baja",'1. Mapa de Riesgos'!$AC$21="Menor"),CONCATENATE("R8C",'1. Mapa de Riesgos'!$Q$21),"")</f>
        <v/>
      </c>
      <c r="R53" s="35" t="str">
        <f>IF(AND('1. Mapa de Riesgos'!$AA$22="Muy Baja",'1. Mapa de Riesgos'!$AC$22="Menor"),CONCATENATE("R8C",'1. Mapa de Riesgos'!$Q$22),"")</f>
        <v/>
      </c>
      <c r="S53" s="35" t="str">
        <f>IF(AND('1. Mapa de Riesgos'!$AA$23="Muy Baja",'1. Mapa de Riesgos'!$AC$23="Menor"),CONCATENATE("R8C",'1. Mapa de Riesgos'!$Q$23),"")</f>
        <v/>
      </c>
      <c r="T53" s="35" t="str">
        <f>IF(AND('1. Mapa de Riesgos'!$AA$24="Muy Baja",'1. Mapa de Riesgos'!$AC$24="Menor"),CONCATENATE("R8C",'1. Mapa de Riesgos'!$Q$24),"")</f>
        <v/>
      </c>
      <c r="U53" s="36" t="str">
        <f>IF(AND('1. Mapa de Riesgos'!$AA$25="Muy Baja",'1. Mapa de Riesgos'!$AC$25="Menor"),CONCATENATE("R8C",'1. Mapa de Riesgos'!$Q$25),"")</f>
        <v/>
      </c>
      <c r="V53" s="25" t="str">
        <f>IF(AND('1. Mapa de Riesgos'!$AA$20="Muy Baja",'1. Mapa de Riesgos'!$AC$20="Moderado"),CONCATENATE("R8C",'1. Mapa de Riesgos'!$Q$20),"")</f>
        <v/>
      </c>
      <c r="W53" s="26" t="str">
        <f>IF(AND('1. Mapa de Riesgos'!$AA$21="Muy Baja",'1. Mapa de Riesgos'!$AC$21="Moderado"),CONCATENATE("R8C",'1. Mapa de Riesgos'!$Q$21),"")</f>
        <v/>
      </c>
      <c r="X53" s="26" t="str">
        <f>IF(AND('1. Mapa de Riesgos'!$AA$22="Muy Baja",'1. Mapa de Riesgos'!$AC$22="Moderado"),CONCATENATE("R8C",'1. Mapa de Riesgos'!$Q$22),"")</f>
        <v/>
      </c>
      <c r="Y53" s="26" t="str">
        <f>IF(AND('1. Mapa de Riesgos'!$AA$23="Muy Baja",'1. Mapa de Riesgos'!$AC$23="Moderado"),CONCATENATE("R8C",'1. Mapa de Riesgos'!$Q$23),"")</f>
        <v/>
      </c>
      <c r="Z53" s="26" t="str">
        <f>IF(AND('1. Mapa de Riesgos'!$AA$24="Muy Baja",'1. Mapa de Riesgos'!$AC$24="Moderado"),CONCATENATE("R8C",'1. Mapa de Riesgos'!$Q$24),"")</f>
        <v/>
      </c>
      <c r="AA53" s="27" t="str">
        <f>IF(AND('1. Mapa de Riesgos'!$AA$25="Muy Baja",'1. Mapa de Riesgos'!$AC$25="Moderado"),CONCATENATE("R8C",'1. Mapa de Riesgos'!$Q$25),"")</f>
        <v/>
      </c>
      <c r="AB53" s="10" t="str">
        <f>IF(AND('1. Mapa de Riesgos'!$AA$20="Muy Baja",'1. Mapa de Riesgos'!$AC$20="Mayor"),CONCATENATE("R8C",'1. Mapa de Riesgos'!$Q$20),"")</f>
        <v/>
      </c>
      <c r="AC53" s="11" t="str">
        <f>IF(AND('1. Mapa de Riesgos'!$AA$21="Muy Baja",'1. Mapa de Riesgos'!$AC$21="Mayor"),CONCATENATE("R8C",'1. Mapa de Riesgos'!$Q$21),"")</f>
        <v/>
      </c>
      <c r="AD53" s="11" t="str">
        <f>IF(AND('1. Mapa de Riesgos'!$AA$22="Muy Baja",'1. Mapa de Riesgos'!$AC$22="Mayor"),CONCATENATE("R8C",'1. Mapa de Riesgos'!$Q$22),"")</f>
        <v/>
      </c>
      <c r="AE53" s="11" t="str">
        <f>IF(AND('1. Mapa de Riesgos'!$AA$23="Muy Baja",'1. Mapa de Riesgos'!$AC$23="Mayor"),CONCATENATE("R8C",'1. Mapa de Riesgos'!$Q$23),"")</f>
        <v/>
      </c>
      <c r="AF53" s="11" t="str">
        <f>IF(AND('1. Mapa de Riesgos'!$AA$24="Muy Baja",'1. Mapa de Riesgos'!$AC$24="Mayor"),CONCATENATE("R8C",'1. Mapa de Riesgos'!$Q$24),"")</f>
        <v/>
      </c>
      <c r="AG53" s="12" t="str">
        <f>IF(AND('1. Mapa de Riesgos'!$AA$25="Muy Baja",'1. Mapa de Riesgos'!$AC$25="Mayor"),CONCATENATE("R8C",'1. Mapa de Riesgos'!$Q$25),"")</f>
        <v/>
      </c>
      <c r="AH53" s="13" t="str">
        <f>IF(AND('1. Mapa de Riesgos'!$AA$20="Muy Baja",'1. Mapa de Riesgos'!$AC$20="Catastrófico"),CONCATENATE("R8C",'1. Mapa de Riesgos'!$Q$20),"")</f>
        <v/>
      </c>
      <c r="AI53" s="14" t="str">
        <f>IF(AND('1. Mapa de Riesgos'!$AA$21="Muy Baja",'1. Mapa de Riesgos'!$AC$21="Catastrófico"),CONCATENATE("R8C",'1. Mapa de Riesgos'!$Q$21),"")</f>
        <v/>
      </c>
      <c r="AJ53" s="14" t="str">
        <f>IF(AND('1. Mapa de Riesgos'!$AA$22="Muy Baja",'1. Mapa de Riesgos'!$AC$22="Catastrófico"),CONCATENATE("R8C",'1. Mapa de Riesgos'!$Q$22),"")</f>
        <v/>
      </c>
      <c r="AK53" s="14" t="str">
        <f>IF(AND('1. Mapa de Riesgos'!$AA$23="Muy Baja",'1. Mapa de Riesgos'!$AC$23="Catastrófico"),CONCATENATE("R8C",'1. Mapa de Riesgos'!$Q$23),"")</f>
        <v/>
      </c>
      <c r="AL53" s="14" t="str">
        <f>IF(AND('1. Mapa de Riesgos'!$AA$24="Muy Baja",'1. Mapa de Riesgos'!$AC$24="Catastrófico"),CONCATENATE("R8C",'1. Mapa de Riesgos'!$Q$24),"")</f>
        <v/>
      </c>
      <c r="AM53" s="15" t="str">
        <f>IF(AND('1. Mapa de Riesgos'!$AA$25="Muy Baja",'1. Mapa de Riesgos'!$AC$25="Catastrófico"),CONCATENATE("R8C",'1. Mapa de Riesgos'!$Q$25),"")</f>
        <v/>
      </c>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row>
    <row r="54" spans="1:80" ht="15" customHeight="1" x14ac:dyDescent="0.25">
      <c r="A54" s="41"/>
      <c r="B54" s="474"/>
      <c r="C54" s="474"/>
      <c r="D54" s="475"/>
      <c r="E54" s="515"/>
      <c r="F54" s="516"/>
      <c r="G54" s="516"/>
      <c r="H54" s="516"/>
      <c r="I54" s="517"/>
      <c r="J54" s="34" t="str">
        <f>IF(AND('1. Mapa de Riesgos'!$AA$62="Muy Baja",'1. Mapa de Riesgos'!$AC$62="Leve"),CONCATENATE("R9C",'1. Mapa de Riesgos'!$Q$62),"")</f>
        <v>R9C1</v>
      </c>
      <c r="K54" s="35" t="str">
        <f>IF(AND('1. Mapa de Riesgos'!$AA$63="Muy Baja",'1. Mapa de Riesgos'!$AC$63="Leve"),CONCATENATE("R9C",'1. Mapa de Riesgos'!$Q$63),"")</f>
        <v/>
      </c>
      <c r="L54" s="35" t="str">
        <f>IF(AND('1. Mapa de Riesgos'!$AA$64="Muy Baja",'1. Mapa de Riesgos'!$AC$64="Leve"),CONCATENATE("R9C",'1. Mapa de Riesgos'!$Q$64),"")</f>
        <v/>
      </c>
      <c r="M54" s="35" t="str">
        <f>IF(AND('1. Mapa de Riesgos'!$AA$65="Muy Baja",'1. Mapa de Riesgos'!$AC$65="Leve"),CONCATENATE("R9C",'1. Mapa de Riesgos'!$Q$65),"")</f>
        <v/>
      </c>
      <c r="N54" s="35" t="str">
        <f>IF(AND('1. Mapa de Riesgos'!$AA$66="Muy Baja",'1. Mapa de Riesgos'!$AC$66="Leve"),CONCATENATE("R9C",'1. Mapa de Riesgos'!$Q$66),"")</f>
        <v/>
      </c>
      <c r="O54" s="36" t="str">
        <f>IF(AND('1. Mapa de Riesgos'!$AA$67="Muy Baja",'1. Mapa de Riesgos'!$AC$67="Leve"),CONCATENATE("R9C",'1. Mapa de Riesgos'!$Q$67),"")</f>
        <v/>
      </c>
      <c r="P54" s="34" t="str">
        <f>IF(AND('1. Mapa de Riesgos'!$AA$62="Muy Baja",'1. Mapa de Riesgos'!$AC$62="Menor"),CONCATENATE("R9C",'1. Mapa de Riesgos'!$Q$62),"")</f>
        <v/>
      </c>
      <c r="Q54" s="35" t="str">
        <f>IF(AND('1. Mapa de Riesgos'!$AA$63="Muy Baja",'1. Mapa de Riesgos'!$AC$63="Menor"),CONCATENATE("R9C",'1. Mapa de Riesgos'!$Q$63),"")</f>
        <v/>
      </c>
      <c r="R54" s="35" t="str">
        <f>IF(AND('1. Mapa de Riesgos'!$AA$64="Muy Baja",'1. Mapa de Riesgos'!$AC$64="Menor"),CONCATENATE("R9C",'1. Mapa de Riesgos'!$Q$64),"")</f>
        <v/>
      </c>
      <c r="S54" s="35" t="str">
        <f>IF(AND('1. Mapa de Riesgos'!$AA$65="Muy Baja",'1. Mapa de Riesgos'!$AC$65="Menor"),CONCATENATE("R9C",'1. Mapa de Riesgos'!$Q$65),"")</f>
        <v/>
      </c>
      <c r="T54" s="35" t="str">
        <f>IF(AND('1. Mapa de Riesgos'!$AA$66="Muy Baja",'1. Mapa de Riesgos'!$AC$66="Menor"),CONCATENATE("R9C",'1. Mapa de Riesgos'!$Q$66),"")</f>
        <v/>
      </c>
      <c r="U54" s="36" t="str">
        <f>IF(AND('1. Mapa de Riesgos'!$AA$67="Muy Baja",'1. Mapa de Riesgos'!$AC$67="Menor"),CONCATENATE("R9C",'1. Mapa de Riesgos'!$Q$67),"")</f>
        <v/>
      </c>
      <c r="V54" s="25" t="str">
        <f>IF(AND('1. Mapa de Riesgos'!$AA$62="Muy Baja",'1. Mapa de Riesgos'!$AC$62="Moderado"),CONCATENATE("R9C",'1. Mapa de Riesgos'!$Q$62),"")</f>
        <v/>
      </c>
      <c r="W54" s="26" t="str">
        <f>IF(AND('1. Mapa de Riesgos'!$AA$63="Muy Baja",'1. Mapa de Riesgos'!$AC$63="Moderado"),CONCATENATE("R9C",'1. Mapa de Riesgos'!$Q$63),"")</f>
        <v/>
      </c>
      <c r="X54" s="26" t="str">
        <f>IF(AND('1. Mapa de Riesgos'!$AA$64="Muy Baja",'1. Mapa de Riesgos'!$AC$64="Moderado"),CONCATENATE("R9C",'1. Mapa de Riesgos'!$Q$64),"")</f>
        <v/>
      </c>
      <c r="Y54" s="26" t="str">
        <f>IF(AND('1. Mapa de Riesgos'!$AA$65="Muy Baja",'1. Mapa de Riesgos'!$AC$65="Moderado"),CONCATENATE("R9C",'1. Mapa de Riesgos'!$Q$65),"")</f>
        <v/>
      </c>
      <c r="Z54" s="26" t="str">
        <f>IF(AND('1. Mapa de Riesgos'!$AA$66="Muy Baja",'1. Mapa de Riesgos'!$AC$66="Moderado"),CONCATENATE("R9C",'1. Mapa de Riesgos'!$Q$66),"")</f>
        <v/>
      </c>
      <c r="AA54" s="27" t="str">
        <f>IF(AND('1. Mapa de Riesgos'!$AA$67="Muy Baja",'1. Mapa de Riesgos'!$AC$67="Moderado"),CONCATENATE("R9C",'1. Mapa de Riesgos'!$Q$67),"")</f>
        <v/>
      </c>
      <c r="AB54" s="10" t="str">
        <f>IF(AND('1. Mapa de Riesgos'!$AA$62="Muy Baja",'1. Mapa de Riesgos'!$AC$62="Mayor"),CONCATENATE("R9C",'1. Mapa de Riesgos'!$Q$62),"")</f>
        <v/>
      </c>
      <c r="AC54" s="11" t="str">
        <f>IF(AND('1. Mapa de Riesgos'!$AA$63="Muy Baja",'1. Mapa de Riesgos'!$AC$63="Mayor"),CONCATENATE("R9C",'1. Mapa de Riesgos'!$Q$63),"")</f>
        <v/>
      </c>
      <c r="AD54" s="11" t="str">
        <f>IF(AND('1. Mapa de Riesgos'!$AA$64="Muy Baja",'1. Mapa de Riesgos'!$AC$64="Mayor"),CONCATENATE("R9C",'1. Mapa de Riesgos'!$Q$64),"")</f>
        <v/>
      </c>
      <c r="AE54" s="11" t="str">
        <f>IF(AND('1. Mapa de Riesgos'!$AA$65="Muy Baja",'1. Mapa de Riesgos'!$AC$65="Mayor"),CONCATENATE("R9C",'1. Mapa de Riesgos'!$Q$65),"")</f>
        <v/>
      </c>
      <c r="AF54" s="11" t="str">
        <f>IF(AND('1. Mapa de Riesgos'!$AA$66="Muy Baja",'1. Mapa de Riesgos'!$AC$66="Mayor"),CONCATENATE("R9C",'1. Mapa de Riesgos'!$Q$66),"")</f>
        <v/>
      </c>
      <c r="AG54" s="12" t="str">
        <f>IF(AND('1. Mapa de Riesgos'!$AA$67="Muy Baja",'1. Mapa de Riesgos'!$AC$67="Mayor"),CONCATENATE("R9C",'1. Mapa de Riesgos'!$Q$67),"")</f>
        <v/>
      </c>
      <c r="AH54" s="13" t="str">
        <f>IF(AND('1. Mapa de Riesgos'!$AA$62="Muy Baja",'1. Mapa de Riesgos'!$AC$62="Catastrófico"),CONCATENATE("R9C",'1. Mapa de Riesgos'!$Q$62),"")</f>
        <v/>
      </c>
      <c r="AI54" s="14" t="str">
        <f>IF(AND('1. Mapa de Riesgos'!$AA$63="Muy Baja",'1. Mapa de Riesgos'!$AC$63="Catastrófico"),CONCATENATE("R9C",'1. Mapa de Riesgos'!$Q$63),"")</f>
        <v/>
      </c>
      <c r="AJ54" s="14" t="str">
        <f>IF(AND('1. Mapa de Riesgos'!$AA$64="Muy Baja",'1. Mapa de Riesgos'!$AC$64="Catastrófico"),CONCATENATE("R9C",'1. Mapa de Riesgos'!$Q$64),"")</f>
        <v/>
      </c>
      <c r="AK54" s="14" t="str">
        <f>IF(AND('1. Mapa de Riesgos'!$AA$65="Muy Baja",'1. Mapa de Riesgos'!$AC$65="Catastrófico"),CONCATENATE("R9C",'1. Mapa de Riesgos'!$Q$65),"")</f>
        <v/>
      </c>
      <c r="AL54" s="14" t="str">
        <f>IF(AND('1. Mapa de Riesgos'!$AA$66="Muy Baja",'1. Mapa de Riesgos'!$AC$66="Catastrófico"),CONCATENATE("R9C",'1. Mapa de Riesgos'!$Q$66),"")</f>
        <v/>
      </c>
      <c r="AM54" s="15" t="str">
        <f>IF(AND('1. Mapa de Riesgos'!$AA$67="Muy Baja",'1. Mapa de Riesgos'!$AC$67="Catastrófico"),CONCATENATE("R9C",'1. Mapa de Riesgos'!$Q$67),"")</f>
        <v/>
      </c>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row>
    <row r="55" spans="1:80" ht="15.75" customHeight="1" thickBot="1" x14ac:dyDescent="0.3">
      <c r="A55" s="41"/>
      <c r="B55" s="474"/>
      <c r="C55" s="474"/>
      <c r="D55" s="475"/>
      <c r="E55" s="518"/>
      <c r="F55" s="519"/>
      <c r="G55" s="519"/>
      <c r="H55" s="519"/>
      <c r="I55" s="520"/>
      <c r="J55" s="37" t="str">
        <f>IF(AND('1. Mapa de Riesgos'!$AA$68="Muy Baja",'1. Mapa de Riesgos'!$AC$68="Leve"),CONCATENATE("R10C",'1. Mapa de Riesgos'!$Q$68),"")</f>
        <v/>
      </c>
      <c r="K55" s="38" t="str">
        <f>IF(AND('1. Mapa de Riesgos'!$AA$69="Muy Baja",'1. Mapa de Riesgos'!$AC$69="Leve"),CONCATENATE("R10C",'1. Mapa de Riesgos'!$Q$69),"")</f>
        <v/>
      </c>
      <c r="L55" s="38" t="str">
        <f>IF(AND('1. Mapa de Riesgos'!$AA$70="Muy Baja",'1. Mapa de Riesgos'!$AC$70="Leve"),CONCATENATE("R10C",'1. Mapa de Riesgos'!$Q$70),"")</f>
        <v/>
      </c>
      <c r="M55" s="38" t="str">
        <f>IF(AND('1. Mapa de Riesgos'!$AA$71="Muy Baja",'1. Mapa de Riesgos'!$AC$71="Leve"),CONCATENATE("R10C",'1. Mapa de Riesgos'!$Q$71),"")</f>
        <v/>
      </c>
      <c r="N55" s="38" t="str">
        <f>IF(AND('1. Mapa de Riesgos'!$AA$72="Muy Baja",'1. Mapa de Riesgos'!$AC$72="Leve"),CONCATENATE("R10C",'1. Mapa de Riesgos'!$Q$72),"")</f>
        <v/>
      </c>
      <c r="O55" s="39" t="str">
        <f>IF(AND('1. Mapa de Riesgos'!$AA$73="Muy Baja",'1. Mapa de Riesgos'!$AC$73="Leve"),CONCATENATE("R10C",'1. Mapa de Riesgos'!$Q$73),"")</f>
        <v/>
      </c>
      <c r="P55" s="37" t="str">
        <f>IF(AND('1. Mapa de Riesgos'!$AA$68="Muy Baja",'1. Mapa de Riesgos'!$AC$68="Menor"),CONCATENATE("R10C",'1. Mapa de Riesgos'!$Q$68),"")</f>
        <v/>
      </c>
      <c r="Q55" s="38" t="str">
        <f>IF(AND('1. Mapa de Riesgos'!$AA$69="Muy Baja",'1. Mapa de Riesgos'!$AC$69="Menor"),CONCATENATE("R10C",'1. Mapa de Riesgos'!$Q$69),"")</f>
        <v/>
      </c>
      <c r="R55" s="38" t="str">
        <f>IF(AND('1. Mapa de Riesgos'!$AA$70="Muy Baja",'1. Mapa de Riesgos'!$AC$70="Menor"),CONCATENATE("R10C",'1. Mapa de Riesgos'!$Q$70),"")</f>
        <v/>
      </c>
      <c r="S55" s="38" t="str">
        <f>IF(AND('1. Mapa de Riesgos'!$AA$71="Muy Baja",'1. Mapa de Riesgos'!$AC$71="Menor"),CONCATENATE("R10C",'1. Mapa de Riesgos'!$Q$71),"")</f>
        <v/>
      </c>
      <c r="T55" s="38" t="str">
        <f>IF(AND('1. Mapa de Riesgos'!$AA$72="Muy Baja",'1. Mapa de Riesgos'!$AC$72="Menor"),CONCATENATE("R10C",'1. Mapa de Riesgos'!$Q$72),"")</f>
        <v/>
      </c>
      <c r="U55" s="39" t="str">
        <f>IF(AND('1. Mapa de Riesgos'!$AA$73="Muy Baja",'1. Mapa de Riesgos'!$AC$73="Menor"),CONCATENATE("R10C",'1. Mapa de Riesgos'!$Q$73),"")</f>
        <v/>
      </c>
      <c r="V55" s="28" t="str">
        <f>IF(AND('1. Mapa de Riesgos'!$AA$68="Muy Baja",'1. Mapa de Riesgos'!$AC$68="Moderado"),CONCATENATE("R10C",'1. Mapa de Riesgos'!$Q$68),"")</f>
        <v/>
      </c>
      <c r="W55" s="29" t="str">
        <f>IF(AND('1. Mapa de Riesgos'!$AA$69="Muy Baja",'1. Mapa de Riesgos'!$AC$69="Moderado"),CONCATENATE("R10C",'1. Mapa de Riesgos'!$Q$69),"")</f>
        <v/>
      </c>
      <c r="X55" s="29" t="str">
        <f>IF(AND('1. Mapa de Riesgos'!$AA$70="Muy Baja",'1. Mapa de Riesgos'!$AC$70="Moderado"),CONCATENATE("R10C",'1. Mapa de Riesgos'!$Q$70),"")</f>
        <v/>
      </c>
      <c r="Y55" s="29" t="str">
        <f>IF(AND('1. Mapa de Riesgos'!$AA$71="Muy Baja",'1. Mapa de Riesgos'!$AC$71="Moderado"),CONCATENATE("R10C",'1. Mapa de Riesgos'!$Q$71),"")</f>
        <v/>
      </c>
      <c r="Z55" s="29" t="str">
        <f>IF(AND('1. Mapa de Riesgos'!$AA$72="Muy Baja",'1. Mapa de Riesgos'!$AC$72="Moderado"),CONCATENATE("R10C",'1. Mapa de Riesgos'!$Q$72),"")</f>
        <v/>
      </c>
      <c r="AA55" s="30" t="str">
        <f>IF(AND('1. Mapa de Riesgos'!$AA$73="Muy Baja",'1. Mapa de Riesgos'!$AC$73="Moderado"),CONCATENATE("R10C",'1. Mapa de Riesgos'!$Q$73),"")</f>
        <v/>
      </c>
      <c r="AB55" s="16" t="str">
        <f>IF(AND('1. Mapa de Riesgos'!$AA$68="Muy Baja",'1. Mapa de Riesgos'!$AC$68="Mayor"),CONCATENATE("R10C",'1. Mapa de Riesgos'!$Q$68),"")</f>
        <v/>
      </c>
      <c r="AC55" s="17" t="str">
        <f>IF(AND('1. Mapa de Riesgos'!$AA$69="Muy Baja",'1. Mapa de Riesgos'!$AC$69="Mayor"),CONCATENATE("R10C",'1. Mapa de Riesgos'!$Q$69),"")</f>
        <v/>
      </c>
      <c r="AD55" s="17" t="str">
        <f>IF(AND('1. Mapa de Riesgos'!$AA$70="Muy Baja",'1. Mapa de Riesgos'!$AC$70="Mayor"),CONCATENATE("R10C",'1. Mapa de Riesgos'!$Q$70),"")</f>
        <v/>
      </c>
      <c r="AE55" s="17" t="str">
        <f>IF(AND('1. Mapa de Riesgos'!$AA$71="Muy Baja",'1. Mapa de Riesgos'!$AC$71="Mayor"),CONCATENATE("R10C",'1. Mapa de Riesgos'!$Q$71),"")</f>
        <v/>
      </c>
      <c r="AF55" s="17" t="str">
        <f>IF(AND('1. Mapa de Riesgos'!$AA$72="Muy Baja",'1. Mapa de Riesgos'!$AC$72="Mayor"),CONCATENATE("R10C",'1. Mapa de Riesgos'!$Q$72),"")</f>
        <v/>
      </c>
      <c r="AG55" s="18" t="str">
        <f>IF(AND('1. Mapa de Riesgos'!$AA$73="Muy Baja",'1. Mapa de Riesgos'!$AC$73="Mayor"),CONCATENATE("R10C",'1. Mapa de Riesgos'!$Q$73),"")</f>
        <v/>
      </c>
      <c r="AH55" s="19" t="str">
        <f>IF(AND('1. Mapa de Riesgos'!$AA$68="Muy Baja",'1. Mapa de Riesgos'!$AC$68="Catastrófico"),CONCATENATE("R10C",'1. Mapa de Riesgos'!$Q$68),"")</f>
        <v/>
      </c>
      <c r="AI55" s="20" t="str">
        <f>IF(AND('1. Mapa de Riesgos'!$AA$69="Muy Baja",'1. Mapa de Riesgos'!$AC$69="Catastrófico"),CONCATENATE("R10C",'1. Mapa de Riesgos'!$Q$69),"")</f>
        <v/>
      </c>
      <c r="AJ55" s="20" t="str">
        <f>IF(AND('1. Mapa de Riesgos'!$AA$70="Muy Baja",'1. Mapa de Riesgos'!$AC$70="Catastrófico"),CONCATENATE("R10C",'1. Mapa de Riesgos'!$Q$70),"")</f>
        <v/>
      </c>
      <c r="AK55" s="20" t="str">
        <f>IF(AND('1. Mapa de Riesgos'!$AA$71="Muy Baja",'1. Mapa de Riesgos'!$AC$71="Catastrófico"),CONCATENATE("R10C",'1. Mapa de Riesgos'!$Q$71),"")</f>
        <v/>
      </c>
      <c r="AL55" s="20" t="str">
        <f>IF(AND('1. Mapa de Riesgos'!$AA$72="Muy Baja",'1. Mapa de Riesgos'!$AC$72="Catastrófico"),CONCATENATE("R10C",'1. Mapa de Riesgos'!$Q$72),"")</f>
        <v/>
      </c>
      <c r="AM55" s="21" t="str">
        <f>IF(AND('1. Mapa de Riesgos'!$AA$73="Muy Baja",'1. Mapa de Riesgos'!$AC$73="Catastrófico"),CONCATENATE("R10C",'1. Mapa de Riesgos'!$Q$73),"")</f>
        <v/>
      </c>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row>
    <row r="56" spans="1:80" x14ac:dyDescent="0.25">
      <c r="A56" s="41"/>
      <c r="B56" s="41"/>
      <c r="C56" s="41"/>
      <c r="D56" s="41"/>
      <c r="E56" s="41"/>
      <c r="F56" s="41"/>
      <c r="G56" s="41"/>
      <c r="H56" s="41"/>
      <c r="I56" s="41"/>
      <c r="J56" s="512" t="s">
        <v>120</v>
      </c>
      <c r="K56" s="513"/>
      <c r="L56" s="513"/>
      <c r="M56" s="513"/>
      <c r="N56" s="513"/>
      <c r="O56" s="514"/>
      <c r="P56" s="512" t="s">
        <v>121</v>
      </c>
      <c r="Q56" s="513"/>
      <c r="R56" s="513"/>
      <c r="S56" s="513"/>
      <c r="T56" s="513"/>
      <c r="U56" s="514"/>
      <c r="V56" s="512" t="s">
        <v>122</v>
      </c>
      <c r="W56" s="513"/>
      <c r="X56" s="513"/>
      <c r="Y56" s="513"/>
      <c r="Z56" s="513"/>
      <c r="AA56" s="514"/>
      <c r="AB56" s="512" t="s">
        <v>123</v>
      </c>
      <c r="AC56" s="521"/>
      <c r="AD56" s="513"/>
      <c r="AE56" s="513"/>
      <c r="AF56" s="513"/>
      <c r="AG56" s="514"/>
      <c r="AH56" s="512" t="s">
        <v>124</v>
      </c>
      <c r="AI56" s="513"/>
      <c r="AJ56" s="513"/>
      <c r="AK56" s="513"/>
      <c r="AL56" s="513"/>
      <c r="AM56" s="514"/>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row>
    <row r="57" spans="1:80" x14ac:dyDescent="0.25">
      <c r="A57" s="41"/>
      <c r="B57" s="41"/>
      <c r="C57" s="41"/>
      <c r="D57" s="41"/>
      <c r="E57" s="41"/>
      <c r="F57" s="41"/>
      <c r="G57" s="41"/>
      <c r="H57" s="41"/>
      <c r="I57" s="41"/>
      <c r="J57" s="515"/>
      <c r="K57" s="516"/>
      <c r="L57" s="516"/>
      <c r="M57" s="516"/>
      <c r="N57" s="516"/>
      <c r="O57" s="517"/>
      <c r="P57" s="515"/>
      <c r="Q57" s="516"/>
      <c r="R57" s="516"/>
      <c r="S57" s="516"/>
      <c r="T57" s="516"/>
      <c r="U57" s="517"/>
      <c r="V57" s="515"/>
      <c r="W57" s="516"/>
      <c r="X57" s="516"/>
      <c r="Y57" s="516"/>
      <c r="Z57" s="516"/>
      <c r="AA57" s="517"/>
      <c r="AB57" s="515"/>
      <c r="AC57" s="516"/>
      <c r="AD57" s="516"/>
      <c r="AE57" s="516"/>
      <c r="AF57" s="516"/>
      <c r="AG57" s="517"/>
      <c r="AH57" s="515"/>
      <c r="AI57" s="516"/>
      <c r="AJ57" s="516"/>
      <c r="AK57" s="516"/>
      <c r="AL57" s="516"/>
      <c r="AM57" s="517"/>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row>
    <row r="58" spans="1:80" x14ac:dyDescent="0.25">
      <c r="A58" s="41"/>
      <c r="B58" s="41"/>
      <c r="C58" s="41"/>
      <c r="D58" s="41"/>
      <c r="E58" s="41"/>
      <c r="F58" s="41"/>
      <c r="G58" s="41"/>
      <c r="H58" s="41"/>
      <c r="I58" s="41"/>
      <c r="J58" s="515"/>
      <c r="K58" s="516"/>
      <c r="L58" s="516"/>
      <c r="M58" s="516"/>
      <c r="N58" s="516"/>
      <c r="O58" s="517"/>
      <c r="P58" s="515"/>
      <c r="Q58" s="516"/>
      <c r="R58" s="516"/>
      <c r="S58" s="516"/>
      <c r="T58" s="516"/>
      <c r="U58" s="517"/>
      <c r="V58" s="515"/>
      <c r="W58" s="516"/>
      <c r="X58" s="516"/>
      <c r="Y58" s="516"/>
      <c r="Z58" s="516"/>
      <c r="AA58" s="517"/>
      <c r="AB58" s="515"/>
      <c r="AC58" s="516"/>
      <c r="AD58" s="516"/>
      <c r="AE58" s="516"/>
      <c r="AF58" s="516"/>
      <c r="AG58" s="517"/>
      <c r="AH58" s="515"/>
      <c r="AI58" s="516"/>
      <c r="AJ58" s="516"/>
      <c r="AK58" s="516"/>
      <c r="AL58" s="516"/>
      <c r="AM58" s="517"/>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row>
    <row r="59" spans="1:80" x14ac:dyDescent="0.25">
      <c r="A59" s="41"/>
      <c r="B59" s="41"/>
      <c r="C59" s="41"/>
      <c r="D59" s="41"/>
      <c r="E59" s="41"/>
      <c r="F59" s="41"/>
      <c r="G59" s="41"/>
      <c r="H59" s="41"/>
      <c r="I59" s="41"/>
      <c r="J59" s="515"/>
      <c r="K59" s="516"/>
      <c r="L59" s="516"/>
      <c r="M59" s="516"/>
      <c r="N59" s="516"/>
      <c r="O59" s="517"/>
      <c r="P59" s="515"/>
      <c r="Q59" s="516"/>
      <c r="R59" s="516"/>
      <c r="S59" s="516"/>
      <c r="T59" s="516"/>
      <c r="U59" s="517"/>
      <c r="V59" s="515"/>
      <c r="W59" s="516"/>
      <c r="X59" s="516"/>
      <c r="Y59" s="516"/>
      <c r="Z59" s="516"/>
      <c r="AA59" s="517"/>
      <c r="AB59" s="515"/>
      <c r="AC59" s="516"/>
      <c r="AD59" s="516"/>
      <c r="AE59" s="516"/>
      <c r="AF59" s="516"/>
      <c r="AG59" s="517"/>
      <c r="AH59" s="515"/>
      <c r="AI59" s="516"/>
      <c r="AJ59" s="516"/>
      <c r="AK59" s="516"/>
      <c r="AL59" s="516"/>
      <c r="AM59" s="517"/>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row>
    <row r="60" spans="1:80" x14ac:dyDescent="0.25">
      <c r="A60" s="41"/>
      <c r="B60" s="41"/>
      <c r="C60" s="41"/>
      <c r="D60" s="41"/>
      <c r="E60" s="41"/>
      <c r="F60" s="41"/>
      <c r="G60" s="41"/>
      <c r="H60" s="41"/>
      <c r="I60" s="41"/>
      <c r="J60" s="515"/>
      <c r="K60" s="516"/>
      <c r="L60" s="516"/>
      <c r="M60" s="516"/>
      <c r="N60" s="516"/>
      <c r="O60" s="517"/>
      <c r="P60" s="515"/>
      <c r="Q60" s="516"/>
      <c r="R60" s="516"/>
      <c r="S60" s="516"/>
      <c r="T60" s="516"/>
      <c r="U60" s="517"/>
      <c r="V60" s="515"/>
      <c r="W60" s="516"/>
      <c r="X60" s="516"/>
      <c r="Y60" s="516"/>
      <c r="Z60" s="516"/>
      <c r="AA60" s="517"/>
      <c r="AB60" s="515"/>
      <c r="AC60" s="516"/>
      <c r="AD60" s="516"/>
      <c r="AE60" s="516"/>
      <c r="AF60" s="516"/>
      <c r="AG60" s="517"/>
      <c r="AH60" s="515"/>
      <c r="AI60" s="516"/>
      <c r="AJ60" s="516"/>
      <c r="AK60" s="516"/>
      <c r="AL60" s="516"/>
      <c r="AM60" s="517"/>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row>
    <row r="61" spans="1:80" ht="15.75" thickBot="1" x14ac:dyDescent="0.3">
      <c r="A61" s="41"/>
      <c r="B61" s="41"/>
      <c r="C61" s="41"/>
      <c r="D61" s="41"/>
      <c r="E61" s="41"/>
      <c r="F61" s="41"/>
      <c r="G61" s="41"/>
      <c r="H61" s="41"/>
      <c r="I61" s="41"/>
      <c r="J61" s="518"/>
      <c r="K61" s="519"/>
      <c r="L61" s="519"/>
      <c r="M61" s="519"/>
      <c r="N61" s="519"/>
      <c r="O61" s="520"/>
      <c r="P61" s="518"/>
      <c r="Q61" s="519"/>
      <c r="R61" s="519"/>
      <c r="S61" s="519"/>
      <c r="T61" s="519"/>
      <c r="U61" s="520"/>
      <c r="V61" s="518"/>
      <c r="W61" s="519"/>
      <c r="X61" s="519"/>
      <c r="Y61" s="519"/>
      <c r="Z61" s="519"/>
      <c r="AA61" s="520"/>
      <c r="AB61" s="518"/>
      <c r="AC61" s="519"/>
      <c r="AD61" s="519"/>
      <c r="AE61" s="519"/>
      <c r="AF61" s="519"/>
      <c r="AG61" s="520"/>
      <c r="AH61" s="518"/>
      <c r="AI61" s="519"/>
      <c r="AJ61" s="519"/>
      <c r="AK61" s="519"/>
      <c r="AL61" s="519"/>
      <c r="AM61" s="520"/>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row>
    <row r="62" spans="1:80" x14ac:dyDescent="0.25">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row>
    <row r="63" spans="1:80" ht="15" customHeight="1" x14ac:dyDescent="0.25">
      <c r="A63" s="41"/>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1"/>
      <c r="AV63" s="41"/>
      <c r="AW63" s="41"/>
      <c r="AX63" s="41"/>
      <c r="AY63" s="41"/>
      <c r="AZ63" s="41"/>
      <c r="BA63" s="41"/>
      <c r="BB63" s="41"/>
      <c r="BC63" s="41"/>
      <c r="BD63" s="41"/>
      <c r="BE63" s="41"/>
      <c r="BF63" s="41"/>
      <c r="BG63" s="41"/>
      <c r="BH63" s="41"/>
    </row>
    <row r="64" spans="1:80" ht="15" customHeight="1" x14ac:dyDescent="0.25">
      <c r="A64" s="41"/>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1"/>
      <c r="AV64" s="41"/>
      <c r="AW64" s="41"/>
      <c r="AX64" s="41"/>
      <c r="AY64" s="41"/>
      <c r="AZ64" s="41"/>
      <c r="BA64" s="41"/>
      <c r="BB64" s="41"/>
      <c r="BC64" s="41"/>
      <c r="BD64" s="41"/>
      <c r="BE64" s="41"/>
      <c r="BF64" s="41"/>
      <c r="BG64" s="41"/>
      <c r="BH64" s="41"/>
    </row>
    <row r="65" spans="1:60" x14ac:dyDescent="0.25">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row>
    <row r="66" spans="1:60" x14ac:dyDescent="0.25">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row>
    <row r="67" spans="1:60" x14ac:dyDescent="0.25">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row>
    <row r="68" spans="1:60" x14ac:dyDescent="0.2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row>
    <row r="69" spans="1:60" x14ac:dyDescent="0.25">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row>
    <row r="70" spans="1:60" x14ac:dyDescent="0.2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row>
    <row r="71" spans="1:60" x14ac:dyDescent="0.25">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row>
    <row r="72" spans="1:60" x14ac:dyDescent="0.25">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row>
    <row r="73" spans="1:60" x14ac:dyDescent="0.25">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row>
    <row r="74" spans="1:60" x14ac:dyDescent="0.25">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row>
    <row r="75" spans="1:60" x14ac:dyDescent="0.25">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row>
    <row r="76" spans="1:60" x14ac:dyDescent="0.25">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row>
    <row r="77" spans="1:60" x14ac:dyDescent="0.25">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row>
    <row r="78" spans="1:60" x14ac:dyDescent="0.25">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row>
    <row r="79" spans="1:60" x14ac:dyDescent="0.25">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row>
    <row r="80" spans="1:60" x14ac:dyDescent="0.25">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row>
    <row r="81" spans="1:60" x14ac:dyDescent="0.25">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row>
    <row r="82" spans="1:60" x14ac:dyDescent="0.25">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row>
    <row r="83" spans="1:60" x14ac:dyDescent="0.25">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row>
    <row r="84" spans="1:60"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row>
    <row r="85" spans="1:60" x14ac:dyDescent="0.25">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row>
    <row r="86" spans="1:60" x14ac:dyDescent="0.25">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row>
    <row r="87" spans="1:60"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row>
    <row r="88" spans="1:60" x14ac:dyDescent="0.25">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row>
    <row r="89" spans="1:60" x14ac:dyDescent="0.25">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row>
    <row r="90" spans="1:60" x14ac:dyDescent="0.25">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row>
    <row r="91" spans="1:60" x14ac:dyDescent="0.25">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row>
    <row r="92" spans="1:60" x14ac:dyDescent="0.25">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row>
    <row r="93" spans="1:60" x14ac:dyDescent="0.25">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row>
    <row r="94" spans="1:60" x14ac:dyDescent="0.25">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row>
    <row r="95" spans="1:60" x14ac:dyDescent="0.25">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row>
    <row r="96" spans="1:60" x14ac:dyDescent="0.25">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row>
    <row r="97" spans="1:60" x14ac:dyDescent="0.25">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row>
    <row r="98" spans="1:60" x14ac:dyDescent="0.2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row>
    <row r="99" spans="1:60" x14ac:dyDescent="0.25">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row>
    <row r="100" spans="1:60" x14ac:dyDescent="0.25">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row>
    <row r="101" spans="1:60" x14ac:dyDescent="0.25">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row>
    <row r="102" spans="1:60" x14ac:dyDescent="0.25">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row>
    <row r="103" spans="1:60" x14ac:dyDescent="0.25">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row>
    <row r="104" spans="1:60" x14ac:dyDescent="0.25">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row>
    <row r="105" spans="1:60" x14ac:dyDescent="0.25">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row>
    <row r="106" spans="1:60" x14ac:dyDescent="0.25">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row>
    <row r="107" spans="1:60" x14ac:dyDescent="0.25">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row>
    <row r="108" spans="1:60" x14ac:dyDescent="0.25">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row>
    <row r="109" spans="1:60" x14ac:dyDescent="0.25">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1"/>
      <c r="BA109" s="41"/>
      <c r="BB109" s="41"/>
      <c r="BC109" s="41"/>
      <c r="BD109" s="41"/>
      <c r="BE109" s="41"/>
      <c r="BF109" s="41"/>
      <c r="BG109" s="41"/>
      <c r="BH109" s="41"/>
    </row>
    <row r="110" spans="1:60" x14ac:dyDescent="0.25">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row>
    <row r="111" spans="1:60" x14ac:dyDescent="0.25">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row>
    <row r="112" spans="1:60" x14ac:dyDescent="0.25">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1"/>
      <c r="BA112" s="41"/>
      <c r="BB112" s="41"/>
      <c r="BC112" s="41"/>
      <c r="BD112" s="41"/>
      <c r="BE112" s="41"/>
      <c r="BF112" s="41"/>
      <c r="BG112" s="41"/>
      <c r="BH112" s="41"/>
    </row>
    <row r="113" spans="1:60" x14ac:dyDescent="0.25">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1"/>
      <c r="BA113" s="41"/>
      <c r="BB113" s="41"/>
      <c r="BC113" s="41"/>
      <c r="BD113" s="41"/>
      <c r="BE113" s="41"/>
      <c r="BF113" s="41"/>
      <c r="BG113" s="41"/>
      <c r="BH113" s="41"/>
    </row>
    <row r="114" spans="1:60" x14ac:dyDescent="0.25">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1"/>
      <c r="BA114" s="41"/>
      <c r="BB114" s="41"/>
      <c r="BC114" s="41"/>
      <c r="BD114" s="41"/>
      <c r="BE114" s="41"/>
      <c r="BF114" s="41"/>
      <c r="BG114" s="41"/>
      <c r="BH114" s="41"/>
    </row>
    <row r="115" spans="1:60" x14ac:dyDescent="0.25">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row>
    <row r="116" spans="1:60" x14ac:dyDescent="0.25">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row>
    <row r="117" spans="1:60" x14ac:dyDescent="0.25">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row>
    <row r="118" spans="1:60" x14ac:dyDescent="0.25">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row>
    <row r="119" spans="1:60" x14ac:dyDescent="0.25">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row>
    <row r="120" spans="1:60" x14ac:dyDescent="0.25">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row>
    <row r="121" spans="1:60" x14ac:dyDescent="0.25">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row>
    <row r="122" spans="1:60" x14ac:dyDescent="0.25">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row>
    <row r="123" spans="1:60" x14ac:dyDescent="0.25">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row>
    <row r="124" spans="1:60" x14ac:dyDescent="0.25">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row>
    <row r="125" spans="1:60" x14ac:dyDescent="0.25">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row>
    <row r="126" spans="1:60" x14ac:dyDescent="0.25">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row>
    <row r="127" spans="1:60" x14ac:dyDescent="0.25">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row>
    <row r="128" spans="1:60" x14ac:dyDescent="0.25">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row>
    <row r="129" spans="1:60" x14ac:dyDescent="0.25">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row>
    <row r="130" spans="1:60" x14ac:dyDescent="0.25">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row>
    <row r="131" spans="1:60" x14ac:dyDescent="0.25">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row>
    <row r="132" spans="1:60" x14ac:dyDescent="0.25">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row>
    <row r="133" spans="1:60" x14ac:dyDescent="0.25">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row>
    <row r="134" spans="1:60" x14ac:dyDescent="0.25">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row>
    <row r="135" spans="1:60" x14ac:dyDescent="0.25">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row>
    <row r="136" spans="1:60" x14ac:dyDescent="0.25">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row>
    <row r="137" spans="1:60" x14ac:dyDescent="0.25">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row>
    <row r="138" spans="1:60" x14ac:dyDescent="0.25">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c r="AE138" s="41"/>
      <c r="AF138" s="41"/>
      <c r="AG138" s="41"/>
      <c r="AH138" s="41"/>
      <c r="AI138" s="41"/>
      <c r="AJ138" s="41"/>
      <c r="AK138" s="41"/>
      <c r="AL138" s="41"/>
      <c r="AM138" s="41"/>
      <c r="AN138" s="41"/>
      <c r="AO138" s="41"/>
      <c r="AP138" s="41"/>
      <c r="AQ138" s="41"/>
      <c r="AR138" s="41"/>
      <c r="AS138" s="41"/>
      <c r="AT138" s="41"/>
      <c r="AU138" s="41"/>
      <c r="AV138" s="41"/>
      <c r="AW138" s="41"/>
      <c r="AX138" s="41"/>
      <c r="AY138" s="41"/>
      <c r="AZ138" s="41"/>
      <c r="BA138" s="41"/>
      <c r="BB138" s="41"/>
      <c r="BC138" s="41"/>
      <c r="BD138" s="41"/>
      <c r="BE138" s="41"/>
      <c r="BF138" s="41"/>
      <c r="BG138" s="41"/>
      <c r="BH138" s="41"/>
    </row>
    <row r="139" spans="1:60" x14ac:dyDescent="0.25">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c r="AM139" s="41"/>
      <c r="AN139" s="41"/>
      <c r="AO139" s="41"/>
      <c r="AP139" s="41"/>
      <c r="AQ139" s="41"/>
      <c r="AR139" s="41"/>
      <c r="AS139" s="41"/>
      <c r="AT139" s="41"/>
      <c r="AU139" s="41"/>
      <c r="AV139" s="41"/>
      <c r="AW139" s="41"/>
      <c r="AX139" s="41"/>
      <c r="AY139" s="41"/>
      <c r="AZ139" s="41"/>
      <c r="BA139" s="41"/>
      <c r="BB139" s="41"/>
      <c r="BC139" s="41"/>
      <c r="BD139" s="41"/>
      <c r="BE139" s="41"/>
      <c r="BF139" s="41"/>
      <c r="BG139" s="41"/>
      <c r="BH139" s="41"/>
    </row>
    <row r="140" spans="1:60" x14ac:dyDescent="0.25">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c r="AE140" s="41"/>
      <c r="AF140" s="41"/>
      <c r="AG140" s="41"/>
      <c r="AH140" s="41"/>
      <c r="AI140" s="41"/>
      <c r="AJ140" s="41"/>
      <c r="AK140" s="41"/>
      <c r="AL140" s="41"/>
      <c r="AM140" s="41"/>
      <c r="AN140" s="41"/>
      <c r="AO140" s="41"/>
      <c r="AP140" s="41"/>
      <c r="AQ140" s="41"/>
      <c r="AR140" s="41"/>
      <c r="AS140" s="41"/>
      <c r="AT140" s="41"/>
      <c r="AU140" s="41"/>
      <c r="AV140" s="41"/>
      <c r="AW140" s="41"/>
      <c r="AX140" s="41"/>
      <c r="AY140" s="41"/>
      <c r="AZ140" s="41"/>
      <c r="BA140" s="41"/>
      <c r="BB140" s="41"/>
      <c r="BC140" s="41"/>
      <c r="BD140" s="41"/>
      <c r="BE140" s="41"/>
      <c r="BF140" s="41"/>
      <c r="BG140" s="41"/>
      <c r="BH140" s="41"/>
    </row>
    <row r="141" spans="1:60" x14ac:dyDescent="0.25">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c r="AD141" s="41"/>
      <c r="AE141" s="41"/>
      <c r="AF141" s="41"/>
      <c r="AG141" s="41"/>
      <c r="AH141" s="41"/>
      <c r="AI141" s="41"/>
      <c r="AJ141" s="41"/>
      <c r="AK141" s="41"/>
      <c r="AL141" s="41"/>
      <c r="AM141" s="41"/>
      <c r="AN141" s="41"/>
      <c r="AO141" s="41"/>
      <c r="AP141" s="41"/>
      <c r="AQ141" s="41"/>
      <c r="AR141" s="41"/>
      <c r="AS141" s="41"/>
      <c r="AT141" s="41"/>
      <c r="AU141" s="41"/>
      <c r="AV141" s="41"/>
      <c r="AW141" s="41"/>
      <c r="AX141" s="41"/>
      <c r="AY141" s="41"/>
      <c r="AZ141" s="41"/>
      <c r="BA141" s="41"/>
      <c r="BB141" s="41"/>
      <c r="BC141" s="41"/>
      <c r="BD141" s="41"/>
      <c r="BE141" s="41"/>
      <c r="BF141" s="41"/>
      <c r="BG141" s="41"/>
      <c r="BH141" s="41"/>
    </row>
    <row r="142" spans="1:60" x14ac:dyDescent="0.25">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row>
    <row r="143" spans="1:60" x14ac:dyDescent="0.25">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1"/>
      <c r="AI143" s="41"/>
      <c r="AJ143" s="41"/>
      <c r="AK143" s="41"/>
      <c r="AL143" s="41"/>
      <c r="AM143" s="41"/>
      <c r="AN143" s="41"/>
      <c r="AO143" s="41"/>
      <c r="AP143" s="41"/>
      <c r="AQ143" s="41"/>
      <c r="AR143" s="41"/>
      <c r="AS143" s="41"/>
      <c r="AT143" s="41"/>
      <c r="AU143" s="41"/>
      <c r="AV143" s="41"/>
      <c r="AW143" s="41"/>
      <c r="AX143" s="41"/>
      <c r="AY143" s="41"/>
      <c r="AZ143" s="41"/>
      <c r="BA143" s="41"/>
      <c r="BB143" s="41"/>
      <c r="BC143" s="41"/>
      <c r="BD143" s="41"/>
      <c r="BE143" s="41"/>
      <c r="BF143" s="41"/>
      <c r="BG143" s="41"/>
      <c r="BH143" s="41"/>
    </row>
    <row r="144" spans="1:60" x14ac:dyDescent="0.25">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41"/>
      <c r="BF144" s="41"/>
      <c r="BG144" s="41"/>
      <c r="BH144" s="41"/>
    </row>
    <row r="145" spans="1:60" x14ac:dyDescent="0.25">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c r="AM145" s="41"/>
      <c r="AN145" s="41"/>
      <c r="AO145" s="41"/>
      <c r="AP145" s="41"/>
      <c r="AQ145" s="41"/>
      <c r="AR145" s="41"/>
      <c r="AS145" s="41"/>
      <c r="AT145" s="41"/>
      <c r="AU145" s="41"/>
      <c r="AV145" s="41"/>
      <c r="AW145" s="41"/>
      <c r="AX145" s="41"/>
      <c r="AY145" s="41"/>
      <c r="AZ145" s="41"/>
      <c r="BA145" s="41"/>
      <c r="BB145" s="41"/>
      <c r="BC145" s="41"/>
      <c r="BD145" s="41"/>
      <c r="BE145" s="41"/>
      <c r="BF145" s="41"/>
      <c r="BG145" s="41"/>
      <c r="BH145" s="41"/>
    </row>
    <row r="146" spans="1:60" x14ac:dyDescent="0.25">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row>
    <row r="147" spans="1:60" x14ac:dyDescent="0.25">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row>
    <row r="148" spans="1:60" x14ac:dyDescent="0.25">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row>
    <row r="149" spans="1:60" x14ac:dyDescent="0.25">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row>
    <row r="150" spans="1:60" x14ac:dyDescent="0.25">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row>
    <row r="151" spans="1:60" x14ac:dyDescent="0.25">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row>
    <row r="152" spans="1:60" x14ac:dyDescent="0.25">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1"/>
      <c r="BA152" s="41"/>
      <c r="BB152" s="41"/>
      <c r="BC152" s="41"/>
      <c r="BD152" s="41"/>
      <c r="BE152" s="41"/>
      <c r="BF152" s="41"/>
      <c r="BG152" s="41"/>
      <c r="BH152" s="41"/>
    </row>
    <row r="153" spans="1:60" x14ac:dyDescent="0.25">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1"/>
      <c r="BA153" s="41"/>
      <c r="BB153" s="41"/>
      <c r="BC153" s="41"/>
      <c r="BD153" s="41"/>
      <c r="BE153" s="41"/>
      <c r="BF153" s="41"/>
      <c r="BG153" s="41"/>
      <c r="BH153" s="41"/>
    </row>
    <row r="154" spans="1:60" x14ac:dyDescent="0.25">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row>
    <row r="155" spans="1:60" x14ac:dyDescent="0.25">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row>
    <row r="156" spans="1:60" x14ac:dyDescent="0.25">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row>
    <row r="157" spans="1:60" x14ac:dyDescent="0.25">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row>
    <row r="158" spans="1:60" x14ac:dyDescent="0.25">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row>
    <row r="159" spans="1:60" x14ac:dyDescent="0.25">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row>
    <row r="160" spans="1:60" x14ac:dyDescent="0.25">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row>
    <row r="161" spans="1:60" x14ac:dyDescent="0.25">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row>
    <row r="162" spans="1:60" x14ac:dyDescent="0.25">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row>
    <row r="163" spans="1:60" x14ac:dyDescent="0.25">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row>
    <row r="164" spans="1:60" x14ac:dyDescent="0.25">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row>
    <row r="165" spans="1:60" x14ac:dyDescent="0.25">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1"/>
      <c r="BA165" s="41"/>
      <c r="BB165" s="41"/>
      <c r="BC165" s="41"/>
      <c r="BD165" s="41"/>
      <c r="BE165" s="41"/>
      <c r="BF165" s="41"/>
      <c r="BG165" s="41"/>
      <c r="BH165" s="41"/>
    </row>
    <row r="166" spans="1:60" x14ac:dyDescent="0.25">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1"/>
      <c r="BA166" s="41"/>
      <c r="BB166" s="41"/>
      <c r="BC166" s="41"/>
      <c r="BD166" s="41"/>
      <c r="BE166" s="41"/>
      <c r="BF166" s="41"/>
      <c r="BG166" s="41"/>
      <c r="BH166" s="41"/>
    </row>
    <row r="167" spans="1:60" x14ac:dyDescent="0.25">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row>
    <row r="168" spans="1:60" x14ac:dyDescent="0.25">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row>
    <row r="169" spans="1:60" x14ac:dyDescent="0.25">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c r="BE169" s="41"/>
      <c r="BF169" s="41"/>
      <c r="BG169" s="41"/>
      <c r="BH169" s="41"/>
    </row>
    <row r="170" spans="1:60" x14ac:dyDescent="0.25">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row>
    <row r="171" spans="1:60" x14ac:dyDescent="0.25">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row>
    <row r="172" spans="1:60" x14ac:dyDescent="0.25">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row>
    <row r="173" spans="1:60" x14ac:dyDescent="0.25">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row>
    <row r="174" spans="1:60" x14ac:dyDescent="0.25">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row>
    <row r="175" spans="1:60" x14ac:dyDescent="0.25">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row>
    <row r="176" spans="1:60" x14ac:dyDescent="0.25">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row>
    <row r="177" spans="1:60" x14ac:dyDescent="0.25">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row>
    <row r="178" spans="1:60" x14ac:dyDescent="0.25">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c r="BE178" s="41"/>
      <c r="BF178" s="41"/>
      <c r="BG178" s="41"/>
      <c r="BH178" s="41"/>
    </row>
    <row r="179" spans="1:60" x14ac:dyDescent="0.25">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c r="BE179" s="41"/>
      <c r="BF179" s="41"/>
      <c r="BG179" s="41"/>
      <c r="BH179" s="41"/>
    </row>
    <row r="180" spans="1:60" x14ac:dyDescent="0.25">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c r="BE180" s="41"/>
      <c r="BF180" s="41"/>
      <c r="BG180" s="41"/>
      <c r="BH180" s="41"/>
    </row>
    <row r="181" spans="1:60" x14ac:dyDescent="0.25">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row>
    <row r="182" spans="1:60" x14ac:dyDescent="0.25">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row>
    <row r="183" spans="1:60" x14ac:dyDescent="0.25">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c r="BE183" s="41"/>
      <c r="BF183" s="41"/>
      <c r="BG183" s="41"/>
      <c r="BH183" s="41"/>
    </row>
    <row r="184" spans="1:60" x14ac:dyDescent="0.25">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c r="BE184" s="41"/>
      <c r="BF184" s="41"/>
      <c r="BG184" s="41"/>
      <c r="BH184" s="41"/>
    </row>
    <row r="185" spans="1:60" x14ac:dyDescent="0.25">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c r="BE185" s="41"/>
      <c r="BF185" s="41"/>
      <c r="BG185" s="41"/>
      <c r="BH185" s="41"/>
    </row>
    <row r="186" spans="1:60" x14ac:dyDescent="0.25">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row>
    <row r="187" spans="1:60" x14ac:dyDescent="0.25">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row>
    <row r="188" spans="1:60" x14ac:dyDescent="0.2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row>
    <row r="189" spans="1:60" x14ac:dyDescent="0.25">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row>
    <row r="190" spans="1:60" x14ac:dyDescent="0.25">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row>
    <row r="191" spans="1:60" x14ac:dyDescent="0.25">
      <c r="A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row>
    <row r="192" spans="1:60" x14ac:dyDescent="0.25">
      <c r="A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row>
    <row r="193" spans="1:60" x14ac:dyDescent="0.25">
      <c r="A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row>
    <row r="194" spans="1:60" x14ac:dyDescent="0.25">
      <c r="A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row>
    <row r="195" spans="1:60" x14ac:dyDescent="0.25">
      <c r="A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row>
    <row r="196" spans="1:60" x14ac:dyDescent="0.25">
      <c r="A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c r="BE196" s="41"/>
      <c r="BF196" s="41"/>
      <c r="BG196" s="41"/>
      <c r="BH196" s="41"/>
    </row>
    <row r="197" spans="1:60" x14ac:dyDescent="0.25">
      <c r="A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c r="BE197" s="41"/>
      <c r="BF197" s="41"/>
      <c r="BG197" s="41"/>
      <c r="BH197" s="41"/>
    </row>
    <row r="198" spans="1:60" x14ac:dyDescent="0.25">
      <c r="A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c r="BE198" s="41"/>
      <c r="BF198" s="41"/>
      <c r="BG198" s="41"/>
      <c r="BH198" s="41"/>
    </row>
    <row r="199" spans="1:60" x14ac:dyDescent="0.25">
      <c r="A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c r="BE199" s="41"/>
      <c r="BF199" s="41"/>
      <c r="BG199" s="41"/>
      <c r="BH199" s="41"/>
    </row>
    <row r="200" spans="1:60" x14ac:dyDescent="0.25">
      <c r="A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c r="BE200" s="41"/>
      <c r="BF200" s="41"/>
      <c r="BG200" s="41"/>
      <c r="BH200" s="41"/>
    </row>
    <row r="201" spans="1:60" x14ac:dyDescent="0.25">
      <c r="A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row>
    <row r="202" spans="1:60" x14ac:dyDescent="0.25">
      <c r="A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c r="BE202" s="41"/>
      <c r="BF202" s="41"/>
      <c r="BG202" s="41"/>
      <c r="BH202" s="41"/>
    </row>
    <row r="203" spans="1:60" x14ac:dyDescent="0.25">
      <c r="A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c r="BE203" s="41"/>
      <c r="BF203" s="41"/>
      <c r="BG203" s="41"/>
      <c r="BH203" s="41"/>
    </row>
    <row r="204" spans="1:60" x14ac:dyDescent="0.25">
      <c r="A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c r="BE204" s="41"/>
      <c r="BF204" s="41"/>
      <c r="BG204" s="41"/>
      <c r="BH204" s="41"/>
    </row>
    <row r="205" spans="1:60" x14ac:dyDescent="0.25">
      <c r="A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c r="BE205" s="41"/>
      <c r="BF205" s="41"/>
      <c r="BG205" s="41"/>
      <c r="BH205" s="41"/>
    </row>
    <row r="206" spans="1:60" x14ac:dyDescent="0.25">
      <c r="A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c r="BE206" s="41"/>
      <c r="BF206" s="41"/>
      <c r="BG206" s="41"/>
      <c r="BH206" s="41"/>
    </row>
    <row r="207" spans="1:60" x14ac:dyDescent="0.25">
      <c r="A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c r="BE207" s="41"/>
      <c r="BF207" s="41"/>
      <c r="BG207" s="41"/>
      <c r="BH207" s="41"/>
    </row>
    <row r="208" spans="1:60" x14ac:dyDescent="0.25">
      <c r="A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c r="BE208" s="41"/>
      <c r="BF208" s="41"/>
      <c r="BG208" s="41"/>
      <c r="BH208" s="41"/>
    </row>
    <row r="209" spans="1:60" x14ac:dyDescent="0.25">
      <c r="A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c r="BE209" s="41"/>
      <c r="BF209" s="41"/>
      <c r="BG209" s="41"/>
      <c r="BH209" s="41"/>
    </row>
    <row r="210" spans="1:60" x14ac:dyDescent="0.25">
      <c r="A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c r="BE210" s="41"/>
      <c r="BF210" s="41"/>
      <c r="BG210" s="41"/>
      <c r="BH210" s="41"/>
    </row>
    <row r="211" spans="1:60" x14ac:dyDescent="0.25">
      <c r="A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c r="BE211" s="41"/>
      <c r="BF211" s="41"/>
      <c r="BG211" s="41"/>
      <c r="BH211" s="41"/>
    </row>
    <row r="212" spans="1:60" x14ac:dyDescent="0.25">
      <c r="A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c r="BE212" s="41"/>
      <c r="BF212" s="41"/>
      <c r="BG212" s="41"/>
      <c r="BH212" s="41"/>
    </row>
    <row r="213" spans="1:60" x14ac:dyDescent="0.25">
      <c r="A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c r="BE213" s="41"/>
      <c r="BF213" s="41"/>
      <c r="BG213" s="41"/>
      <c r="BH213" s="41"/>
    </row>
    <row r="214" spans="1:60" x14ac:dyDescent="0.25">
      <c r="A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c r="BE214" s="41"/>
      <c r="BF214" s="41"/>
      <c r="BG214" s="41"/>
      <c r="BH214" s="41"/>
    </row>
    <row r="215" spans="1:60" x14ac:dyDescent="0.25">
      <c r="A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c r="BE215" s="41"/>
      <c r="BF215" s="41"/>
      <c r="BG215" s="41"/>
      <c r="BH215" s="41"/>
    </row>
    <row r="216" spans="1:60" x14ac:dyDescent="0.25">
      <c r="A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c r="BE216" s="41"/>
      <c r="BF216" s="41"/>
      <c r="BG216" s="41"/>
      <c r="BH216" s="41"/>
    </row>
    <row r="217" spans="1:60" x14ac:dyDescent="0.25">
      <c r="A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c r="BE217" s="41"/>
      <c r="BF217" s="41"/>
      <c r="BG217" s="41"/>
      <c r="BH217" s="41"/>
    </row>
    <row r="218" spans="1:60" x14ac:dyDescent="0.25">
      <c r="A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c r="BE218" s="41"/>
      <c r="BF218" s="41"/>
      <c r="BG218" s="41"/>
      <c r="BH218" s="41"/>
    </row>
    <row r="219" spans="1:60" x14ac:dyDescent="0.25">
      <c r="A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c r="BE219" s="41"/>
      <c r="BF219" s="41"/>
      <c r="BG219" s="41"/>
      <c r="BH219" s="41"/>
    </row>
    <row r="220" spans="1:60" x14ac:dyDescent="0.25">
      <c r="A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row>
    <row r="221" spans="1:60" x14ac:dyDescent="0.25">
      <c r="A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c r="BE221" s="41"/>
      <c r="BF221" s="41"/>
      <c r="BG221" s="41"/>
      <c r="BH221" s="41"/>
    </row>
    <row r="222" spans="1:60" x14ac:dyDescent="0.25">
      <c r="A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c r="BE222" s="41"/>
      <c r="BF222" s="41"/>
      <c r="BG222" s="41"/>
      <c r="BH222" s="41"/>
    </row>
    <row r="223" spans="1:60" x14ac:dyDescent="0.25">
      <c r="A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c r="BE223" s="41"/>
      <c r="BF223" s="41"/>
      <c r="BG223" s="41"/>
      <c r="BH223" s="41"/>
    </row>
    <row r="224" spans="1:60" x14ac:dyDescent="0.25">
      <c r="A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c r="BE224" s="41"/>
      <c r="BF224" s="41"/>
      <c r="BG224" s="41"/>
      <c r="BH224" s="41"/>
    </row>
    <row r="225" spans="1:60" x14ac:dyDescent="0.25">
      <c r="A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c r="BE225" s="41"/>
      <c r="BF225" s="41"/>
      <c r="BG225" s="41"/>
      <c r="BH225" s="41"/>
    </row>
    <row r="226" spans="1:60" x14ac:dyDescent="0.25">
      <c r="A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c r="BE226" s="41"/>
      <c r="BF226" s="41"/>
      <c r="BG226" s="41"/>
      <c r="BH226" s="41"/>
    </row>
    <row r="227" spans="1:60" x14ac:dyDescent="0.25">
      <c r="A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c r="BE227" s="41"/>
      <c r="BF227" s="41"/>
      <c r="BG227" s="41"/>
      <c r="BH227" s="41"/>
    </row>
    <row r="228" spans="1:60" x14ac:dyDescent="0.25">
      <c r="A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c r="BE228" s="41"/>
      <c r="BF228" s="41"/>
      <c r="BG228" s="41"/>
      <c r="BH228" s="41"/>
    </row>
    <row r="229" spans="1:60" x14ac:dyDescent="0.25">
      <c r="A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c r="BE229" s="41"/>
      <c r="BF229" s="41"/>
      <c r="BG229" s="41"/>
      <c r="BH229" s="41"/>
    </row>
    <row r="230" spans="1:60" x14ac:dyDescent="0.25">
      <c r="A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c r="BE230" s="41"/>
      <c r="BF230" s="41"/>
      <c r="BG230" s="41"/>
      <c r="BH230" s="41"/>
    </row>
    <row r="231" spans="1:60" x14ac:dyDescent="0.25">
      <c r="A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c r="BE231" s="41"/>
      <c r="BF231" s="41"/>
      <c r="BG231" s="41"/>
      <c r="BH231" s="41"/>
    </row>
    <row r="232" spans="1:60" x14ac:dyDescent="0.25">
      <c r="A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c r="BE232" s="41"/>
      <c r="BF232" s="41"/>
      <c r="BG232" s="41"/>
      <c r="BH232" s="41"/>
    </row>
    <row r="233" spans="1:60" x14ac:dyDescent="0.25">
      <c r="A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c r="BE233" s="41"/>
      <c r="BF233" s="41"/>
      <c r="BG233" s="41"/>
      <c r="BH233" s="41"/>
    </row>
    <row r="234" spans="1:60" x14ac:dyDescent="0.25">
      <c r="A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row>
    <row r="235" spans="1:60" x14ac:dyDescent="0.25">
      <c r="A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row>
    <row r="236" spans="1:60" x14ac:dyDescent="0.25">
      <c r="A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row>
    <row r="237" spans="1:60" x14ac:dyDescent="0.25">
      <c r="A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row>
    <row r="238" spans="1:60" x14ac:dyDescent="0.25">
      <c r="A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row>
    <row r="239" spans="1:60" x14ac:dyDescent="0.25">
      <c r="A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row>
    <row r="240" spans="1:60" x14ac:dyDescent="0.25">
      <c r="A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c r="BE240" s="41"/>
      <c r="BF240" s="41"/>
      <c r="BG240" s="41"/>
      <c r="BH240" s="41"/>
    </row>
    <row r="241" spans="1:60" x14ac:dyDescent="0.25">
      <c r="A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c r="BE241" s="41"/>
      <c r="BF241" s="41"/>
      <c r="BG241" s="41"/>
      <c r="BH241" s="41"/>
    </row>
    <row r="242" spans="1:60" x14ac:dyDescent="0.25">
      <c r="A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c r="BE242" s="41"/>
      <c r="BF242" s="41"/>
      <c r="BG242" s="41"/>
      <c r="BH242" s="41"/>
    </row>
    <row r="243" spans="1:60" x14ac:dyDescent="0.25">
      <c r="A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c r="BE243" s="41"/>
      <c r="BF243" s="41"/>
      <c r="BG243" s="41"/>
      <c r="BH243" s="41"/>
    </row>
    <row r="244" spans="1:60" x14ac:dyDescent="0.25">
      <c r="A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c r="BE244" s="41"/>
      <c r="BF244" s="41"/>
      <c r="BG244" s="41"/>
      <c r="BH244" s="41"/>
    </row>
    <row r="245" spans="1:60" x14ac:dyDescent="0.25">
      <c r="A245" s="41"/>
    </row>
    <row r="246" spans="1:60" x14ac:dyDescent="0.25">
      <c r="A246" s="41"/>
    </row>
    <row r="247" spans="1:60" x14ac:dyDescent="0.25">
      <c r="A247" s="41"/>
    </row>
    <row r="248" spans="1:60" x14ac:dyDescent="0.25">
      <c r="A248" s="4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9"/>
  <sheetViews>
    <sheetView zoomScale="80" zoomScaleNormal="80" workbookViewId="0">
      <selection activeCell="D1" sqref="D1:D4"/>
    </sheetView>
  </sheetViews>
  <sheetFormatPr baseColWidth="10" defaultColWidth="11.5703125" defaultRowHeight="14.25" x14ac:dyDescent="0.2"/>
  <cols>
    <col min="1" max="1" width="11.5703125" style="73"/>
    <col min="2" max="2" width="24.140625" style="73" customWidth="1"/>
    <col min="3" max="3" width="70.140625" style="73" customWidth="1"/>
    <col min="4" max="4" width="42.42578125" style="73" customWidth="1"/>
    <col min="5" max="16384" width="11.5703125" style="73"/>
  </cols>
  <sheetData>
    <row r="1" spans="1:37" ht="15" x14ac:dyDescent="0.2">
      <c r="B1" s="562"/>
      <c r="C1" s="565" t="s">
        <v>0</v>
      </c>
      <c r="D1" s="63"/>
    </row>
    <row r="2" spans="1:37" ht="15" x14ac:dyDescent="0.2">
      <c r="B2" s="563"/>
      <c r="C2" s="566"/>
      <c r="D2" s="63"/>
    </row>
    <row r="3" spans="1:37" ht="15" x14ac:dyDescent="0.2">
      <c r="B3" s="563"/>
      <c r="C3" s="566"/>
      <c r="D3" s="63"/>
    </row>
    <row r="4" spans="1:37" ht="15" x14ac:dyDescent="0.2">
      <c r="B4" s="564"/>
      <c r="C4" s="567"/>
      <c r="D4" s="63"/>
    </row>
    <row r="5" spans="1:37" ht="23.25" x14ac:dyDescent="0.2">
      <c r="A5" s="74"/>
      <c r="B5" s="561" t="s">
        <v>126</v>
      </c>
      <c r="C5" s="561"/>
      <c r="D5" s="561"/>
      <c r="E5" s="74"/>
      <c r="F5" s="74"/>
      <c r="G5" s="74"/>
      <c r="H5" s="74"/>
      <c r="I5" s="74"/>
      <c r="J5" s="74"/>
      <c r="K5" s="74"/>
      <c r="L5" s="74"/>
      <c r="M5" s="74"/>
      <c r="N5" s="74"/>
      <c r="O5" s="74"/>
      <c r="P5" s="74"/>
      <c r="Q5" s="74"/>
      <c r="R5" s="74"/>
      <c r="S5" s="74"/>
      <c r="T5" s="74"/>
      <c r="U5" s="74"/>
      <c r="V5" s="74"/>
      <c r="W5" s="74"/>
      <c r="X5" s="74"/>
      <c r="Y5" s="74"/>
      <c r="Z5" s="74"/>
      <c r="AA5" s="74"/>
      <c r="AB5" s="74"/>
      <c r="AC5" s="74"/>
      <c r="AD5" s="74"/>
      <c r="AE5" s="74"/>
    </row>
    <row r="6" spans="1:37" x14ac:dyDescent="0.2">
      <c r="A6" s="74"/>
      <c r="B6" s="75"/>
      <c r="C6" s="75"/>
      <c r="D6" s="75"/>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7" ht="18" x14ac:dyDescent="0.2">
      <c r="A7" s="74"/>
      <c r="B7" s="93"/>
      <c r="C7" s="94" t="s">
        <v>127</v>
      </c>
      <c r="D7" s="94" t="s">
        <v>110</v>
      </c>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7" ht="36" x14ac:dyDescent="0.2">
      <c r="A8" s="74"/>
      <c r="B8" s="95" t="s">
        <v>128</v>
      </c>
      <c r="C8" s="96" t="s">
        <v>129</v>
      </c>
      <c r="D8" s="97">
        <v>0.2</v>
      </c>
      <c r="E8" s="74"/>
      <c r="F8" s="74"/>
      <c r="G8" s="74"/>
      <c r="H8" s="74"/>
      <c r="I8" s="74"/>
      <c r="J8" s="74"/>
      <c r="K8" s="74"/>
      <c r="L8" s="74"/>
      <c r="M8" s="74"/>
      <c r="N8" s="74"/>
      <c r="O8" s="74"/>
      <c r="P8" s="74"/>
      <c r="Q8" s="74"/>
      <c r="R8" s="74"/>
      <c r="S8" s="74"/>
      <c r="T8" s="74"/>
      <c r="U8" s="74"/>
      <c r="V8" s="74"/>
      <c r="W8" s="74"/>
      <c r="X8" s="74"/>
      <c r="Y8" s="74"/>
      <c r="Z8" s="74"/>
      <c r="AA8" s="74"/>
      <c r="AB8" s="74"/>
      <c r="AC8" s="74"/>
      <c r="AD8" s="74"/>
      <c r="AE8" s="74"/>
    </row>
    <row r="9" spans="1:37" ht="36" x14ac:dyDescent="0.2">
      <c r="A9" s="74"/>
      <c r="B9" s="98" t="s">
        <v>130</v>
      </c>
      <c r="C9" s="96" t="s">
        <v>131</v>
      </c>
      <c r="D9" s="97">
        <v>0.4</v>
      </c>
      <c r="E9" s="74"/>
      <c r="F9" s="74"/>
      <c r="G9" s="74"/>
      <c r="H9" s="74"/>
      <c r="I9" s="74"/>
      <c r="J9" s="74"/>
      <c r="K9" s="74"/>
      <c r="L9" s="74"/>
      <c r="M9" s="74"/>
      <c r="N9" s="74"/>
      <c r="O9" s="74"/>
      <c r="P9" s="74"/>
      <c r="Q9" s="74"/>
      <c r="R9" s="74"/>
      <c r="S9" s="74"/>
      <c r="T9" s="74"/>
      <c r="U9" s="74"/>
      <c r="V9" s="74"/>
      <c r="W9" s="74"/>
      <c r="X9" s="74"/>
      <c r="Y9" s="74"/>
      <c r="Z9" s="74"/>
      <c r="AA9" s="74"/>
      <c r="AB9" s="74"/>
      <c r="AC9" s="74"/>
      <c r="AD9" s="74"/>
      <c r="AE9" s="74"/>
    </row>
    <row r="10" spans="1:37" ht="36" x14ac:dyDescent="0.2">
      <c r="A10" s="74"/>
      <c r="B10" s="99" t="s">
        <v>132</v>
      </c>
      <c r="C10" s="96" t="s">
        <v>133</v>
      </c>
      <c r="D10" s="97">
        <v>0.6</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row>
    <row r="11" spans="1:37" ht="36" x14ac:dyDescent="0.2">
      <c r="A11" s="74"/>
      <c r="B11" s="100" t="s">
        <v>134</v>
      </c>
      <c r="C11" s="96" t="s">
        <v>135</v>
      </c>
      <c r="D11" s="97">
        <v>0.8</v>
      </c>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row>
    <row r="12" spans="1:37" ht="36" x14ac:dyDescent="0.2">
      <c r="A12" s="74"/>
      <c r="B12" s="101" t="s">
        <v>136</v>
      </c>
      <c r="C12" s="96" t="s">
        <v>137</v>
      </c>
      <c r="D12" s="97">
        <v>1</v>
      </c>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row>
    <row r="13" spans="1:37" x14ac:dyDescent="0.2">
      <c r="A13" s="74"/>
      <c r="B13" s="84"/>
      <c r="C13" s="84"/>
      <c r="D13" s="8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row>
    <row r="14" spans="1:37" ht="15" x14ac:dyDescent="0.2">
      <c r="A14" s="74"/>
      <c r="B14" s="92"/>
      <c r="C14" s="84"/>
      <c r="D14" s="8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row>
    <row r="15" spans="1:37" x14ac:dyDescent="0.2">
      <c r="A15" s="74"/>
      <c r="B15" s="84"/>
      <c r="C15" s="84"/>
      <c r="D15" s="8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row>
    <row r="16" spans="1:37" x14ac:dyDescent="0.2">
      <c r="A16" s="74"/>
      <c r="B16" s="84"/>
      <c r="C16" s="84"/>
      <c r="D16" s="8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row>
    <row r="17" spans="1:37" x14ac:dyDescent="0.2">
      <c r="A17" s="74"/>
      <c r="B17" s="84"/>
      <c r="C17" s="84"/>
      <c r="D17" s="8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row>
    <row r="18" spans="1:37" x14ac:dyDescent="0.2">
      <c r="A18" s="74"/>
      <c r="B18" s="84"/>
      <c r="C18" s="84"/>
      <c r="D18" s="8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row>
    <row r="19" spans="1:37" x14ac:dyDescent="0.2">
      <c r="A19" s="74"/>
      <c r="B19" s="84"/>
      <c r="C19" s="84"/>
      <c r="D19" s="8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row>
    <row r="20" spans="1:37" x14ac:dyDescent="0.2">
      <c r="A20" s="74"/>
      <c r="B20" s="84"/>
      <c r="C20" s="84"/>
      <c r="D20" s="8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row>
    <row r="21" spans="1:37" x14ac:dyDescent="0.2">
      <c r="A21" s="74"/>
      <c r="B21" s="84"/>
      <c r="C21" s="84"/>
      <c r="D21" s="8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row>
    <row r="22" spans="1:37" x14ac:dyDescent="0.2">
      <c r="A22" s="74"/>
      <c r="B22" s="84"/>
      <c r="C22" s="84"/>
      <c r="D22" s="8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row>
    <row r="23" spans="1:37" x14ac:dyDescent="0.2">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row>
    <row r="24" spans="1:37" x14ac:dyDescent="0.2">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row>
    <row r="25" spans="1:37" x14ac:dyDescent="0.2">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row>
    <row r="26" spans="1:37" x14ac:dyDescent="0.2">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row>
    <row r="27" spans="1:37" x14ac:dyDescent="0.2">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row>
    <row r="28" spans="1:37" x14ac:dyDescent="0.2">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row>
    <row r="29" spans="1:37" x14ac:dyDescent="0.2">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row>
    <row r="30" spans="1:37" x14ac:dyDescent="0.2">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37" x14ac:dyDescent="0.2">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row>
    <row r="32" spans="1:37" x14ac:dyDescent="0.2">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row>
    <row r="33" spans="1:37" x14ac:dyDescent="0.2">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row>
    <row r="34" spans="1:37" x14ac:dyDescent="0.2">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row>
    <row r="35" spans="1:37" x14ac:dyDescent="0.2">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row>
    <row r="36" spans="1:37" x14ac:dyDescent="0.2">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row>
    <row r="37" spans="1:37" x14ac:dyDescent="0.2">
      <c r="A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row>
    <row r="38" spans="1:37" x14ac:dyDescent="0.2">
      <c r="A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row>
    <row r="39" spans="1:37" x14ac:dyDescent="0.2">
      <c r="A39" s="74"/>
    </row>
    <row r="40" spans="1:37" x14ac:dyDescent="0.2">
      <c r="A40" s="74"/>
    </row>
    <row r="41" spans="1:37" x14ac:dyDescent="0.2">
      <c r="A41" s="74"/>
    </row>
    <row r="42" spans="1:37" x14ac:dyDescent="0.2">
      <c r="A42" s="74"/>
    </row>
    <row r="43" spans="1:37" x14ac:dyDescent="0.2">
      <c r="A43" s="74"/>
    </row>
    <row r="44" spans="1:37" x14ac:dyDescent="0.2">
      <c r="A44" s="74"/>
    </row>
    <row r="45" spans="1:37" x14ac:dyDescent="0.2">
      <c r="A45" s="74"/>
    </row>
    <row r="46" spans="1:37" x14ac:dyDescent="0.2">
      <c r="A46" s="74"/>
    </row>
    <row r="47" spans="1:37" x14ac:dyDescent="0.2">
      <c r="A47" s="74"/>
    </row>
    <row r="48" spans="1:37" x14ac:dyDescent="0.2">
      <c r="A48" s="74"/>
    </row>
    <row r="49" spans="1:1" x14ac:dyDescent="0.2">
      <c r="A49" s="74"/>
    </row>
    <row r="50" spans="1:1" x14ac:dyDescent="0.2">
      <c r="A50" s="74"/>
    </row>
    <row r="51" spans="1:1" x14ac:dyDescent="0.2">
      <c r="A51" s="74"/>
    </row>
    <row r="52" spans="1:1" x14ac:dyDescent="0.2">
      <c r="A52" s="74"/>
    </row>
    <row r="53" spans="1:1" x14ac:dyDescent="0.2">
      <c r="A53" s="74"/>
    </row>
    <row r="54" spans="1:1" x14ac:dyDescent="0.2">
      <c r="A54" s="74"/>
    </row>
    <row r="55" spans="1:1" x14ac:dyDescent="0.2">
      <c r="A55" s="74"/>
    </row>
    <row r="56" spans="1:1" x14ac:dyDescent="0.2">
      <c r="A56" s="74"/>
    </row>
    <row r="57" spans="1:1" x14ac:dyDescent="0.2">
      <c r="A57" s="74"/>
    </row>
    <row r="58" spans="1:1" x14ac:dyDescent="0.2">
      <c r="A58" s="74"/>
    </row>
    <row r="59" spans="1:1" x14ac:dyDescent="0.2">
      <c r="A59" s="74"/>
    </row>
  </sheetData>
  <mergeCells count="3">
    <mergeCell ref="B5:D5"/>
    <mergeCell ref="B1:B4"/>
    <mergeCell ref="C1:C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V236"/>
  <sheetViews>
    <sheetView zoomScale="55" zoomScaleNormal="55" workbookViewId="0">
      <selection activeCell="F8" sqref="F8"/>
    </sheetView>
  </sheetViews>
  <sheetFormatPr baseColWidth="10" defaultColWidth="11.5703125" defaultRowHeight="14.25" x14ac:dyDescent="0.2"/>
  <cols>
    <col min="1" max="1" width="11.5703125" style="73"/>
    <col min="2" max="2" width="40.42578125" style="73" customWidth="1"/>
    <col min="3" max="3" width="27.85546875" style="73" customWidth="1"/>
    <col min="4" max="4" width="43.7109375" style="73" customWidth="1"/>
    <col min="5" max="5" width="55.5703125" style="73" customWidth="1"/>
    <col min="6" max="6" width="144.7109375" style="73" bestFit="1" customWidth="1"/>
    <col min="7" max="16384" width="11.5703125" style="73"/>
  </cols>
  <sheetData>
    <row r="1" spans="1:22" ht="26.25" customHeight="1" x14ac:dyDescent="0.2">
      <c r="B1" s="572"/>
      <c r="C1" s="573" t="s">
        <v>0</v>
      </c>
      <c r="D1" s="574"/>
      <c r="E1" s="63"/>
    </row>
    <row r="2" spans="1:22" ht="26.25" customHeight="1" x14ac:dyDescent="0.2">
      <c r="B2" s="572"/>
      <c r="C2" s="575"/>
      <c r="D2" s="576"/>
      <c r="E2" s="63"/>
    </row>
    <row r="3" spans="1:22" ht="26.25" customHeight="1" x14ac:dyDescent="0.2">
      <c r="B3" s="572"/>
      <c r="C3" s="575"/>
      <c r="D3" s="576"/>
      <c r="E3" s="63"/>
    </row>
    <row r="4" spans="1:22" ht="28.5" customHeight="1" x14ac:dyDescent="0.2">
      <c r="B4" s="572"/>
      <c r="C4" s="577"/>
      <c r="D4" s="578"/>
      <c r="E4" s="63"/>
    </row>
    <row r="5" spans="1:22" ht="33.75" x14ac:dyDescent="0.2">
      <c r="A5" s="74"/>
      <c r="B5" s="571" t="s">
        <v>138</v>
      </c>
      <c r="C5" s="571"/>
      <c r="D5" s="571"/>
      <c r="E5" s="571"/>
      <c r="F5" s="74"/>
      <c r="G5" s="74"/>
      <c r="H5" s="74"/>
      <c r="I5" s="74"/>
      <c r="J5" s="74"/>
      <c r="K5" s="74"/>
      <c r="L5" s="74"/>
      <c r="M5" s="74"/>
      <c r="N5" s="74"/>
      <c r="O5" s="74"/>
      <c r="P5" s="74"/>
      <c r="Q5" s="74"/>
      <c r="R5" s="74"/>
      <c r="S5" s="74"/>
      <c r="T5" s="74"/>
      <c r="U5" s="74"/>
      <c r="V5" s="74"/>
    </row>
    <row r="6" spans="1:22" x14ac:dyDescent="0.2">
      <c r="A6" s="74"/>
      <c r="B6" s="75"/>
      <c r="C6" s="75"/>
      <c r="D6" s="75"/>
      <c r="E6" s="75"/>
      <c r="F6" s="74"/>
      <c r="G6" s="74"/>
      <c r="H6" s="74"/>
      <c r="I6" s="74"/>
      <c r="J6" s="74"/>
      <c r="K6" s="74"/>
      <c r="L6" s="74"/>
      <c r="M6" s="74"/>
      <c r="N6" s="74"/>
      <c r="O6" s="74"/>
      <c r="P6" s="74"/>
      <c r="Q6" s="74"/>
      <c r="R6" s="74"/>
      <c r="S6" s="74"/>
      <c r="T6" s="74"/>
      <c r="U6" s="74"/>
      <c r="V6" s="74"/>
    </row>
    <row r="7" spans="1:22" ht="30" customHeight="1" x14ac:dyDescent="0.2">
      <c r="A7" s="74"/>
      <c r="B7" s="64"/>
      <c r="C7" s="568" t="s">
        <v>139</v>
      </c>
      <c r="D7" s="569"/>
      <c r="E7" s="570"/>
      <c r="F7" s="74"/>
      <c r="G7" s="74"/>
      <c r="H7" s="74"/>
      <c r="I7" s="74"/>
      <c r="J7" s="74"/>
      <c r="K7" s="74"/>
      <c r="L7" s="74"/>
      <c r="M7" s="74"/>
      <c r="N7" s="74"/>
      <c r="O7" s="74"/>
      <c r="P7" s="74"/>
      <c r="Q7" s="74"/>
      <c r="R7" s="74"/>
      <c r="S7" s="74"/>
      <c r="T7" s="74"/>
      <c r="U7" s="74"/>
      <c r="V7" s="74"/>
    </row>
    <row r="8" spans="1:22" ht="88.5" customHeight="1" x14ac:dyDescent="0.2">
      <c r="A8" s="76" t="s">
        <v>140</v>
      </c>
      <c r="B8" s="77" t="s">
        <v>141</v>
      </c>
      <c r="C8" s="102" t="s">
        <v>142</v>
      </c>
      <c r="D8" s="103"/>
      <c r="E8" s="104"/>
      <c r="F8" s="74"/>
      <c r="G8" s="74"/>
      <c r="H8" s="74"/>
      <c r="I8" s="74"/>
      <c r="J8" s="74"/>
      <c r="K8" s="74"/>
      <c r="L8" s="74"/>
      <c r="M8" s="74"/>
      <c r="N8" s="74"/>
      <c r="O8" s="74"/>
      <c r="P8" s="74"/>
      <c r="Q8" s="74"/>
      <c r="R8" s="74"/>
      <c r="S8" s="74"/>
      <c r="T8" s="74"/>
      <c r="U8" s="74"/>
      <c r="V8" s="74"/>
    </row>
    <row r="9" spans="1:22" ht="75.75" customHeight="1" x14ac:dyDescent="0.2">
      <c r="A9" s="76" t="s">
        <v>143</v>
      </c>
      <c r="B9" s="78" t="s">
        <v>144</v>
      </c>
      <c r="C9" s="102" t="s">
        <v>145</v>
      </c>
      <c r="D9" s="103"/>
      <c r="E9" s="104"/>
      <c r="F9" s="74"/>
      <c r="G9" s="74"/>
      <c r="H9" s="74"/>
      <c r="I9" s="74"/>
      <c r="J9" s="74"/>
      <c r="K9" s="74"/>
      <c r="L9" s="74"/>
      <c r="M9" s="74"/>
      <c r="N9" s="74"/>
      <c r="O9" s="74"/>
      <c r="P9" s="74"/>
      <c r="Q9" s="74"/>
      <c r="R9" s="74"/>
      <c r="S9" s="74"/>
      <c r="T9" s="74"/>
      <c r="U9" s="74"/>
      <c r="V9" s="74"/>
    </row>
    <row r="10" spans="1:22" ht="78.75" customHeight="1" x14ac:dyDescent="0.2">
      <c r="A10" s="76" t="s">
        <v>116</v>
      </c>
      <c r="B10" s="79" t="s">
        <v>146</v>
      </c>
      <c r="C10" s="102" t="s">
        <v>147</v>
      </c>
      <c r="D10" s="103"/>
      <c r="E10" s="104"/>
      <c r="F10" s="74"/>
      <c r="G10" s="74"/>
      <c r="H10" s="74"/>
      <c r="I10" s="74"/>
      <c r="J10" s="74"/>
      <c r="K10" s="74"/>
      <c r="L10" s="74"/>
      <c r="M10" s="74"/>
      <c r="N10" s="74"/>
      <c r="O10" s="74"/>
      <c r="P10" s="74"/>
      <c r="Q10" s="74"/>
      <c r="R10" s="74"/>
      <c r="S10" s="74"/>
      <c r="T10" s="74"/>
      <c r="U10" s="74"/>
      <c r="V10" s="74"/>
    </row>
    <row r="11" spans="1:22" ht="78.75" customHeight="1" x14ac:dyDescent="0.2">
      <c r="A11" s="76" t="s">
        <v>148</v>
      </c>
      <c r="B11" s="80" t="s">
        <v>149</v>
      </c>
      <c r="C11" s="102" t="s">
        <v>150</v>
      </c>
      <c r="D11" s="103"/>
      <c r="E11" s="104"/>
      <c r="F11" s="74"/>
      <c r="G11" s="74"/>
      <c r="H11" s="74"/>
      <c r="I11" s="74"/>
      <c r="J11" s="74"/>
      <c r="K11" s="74"/>
      <c r="L11" s="74"/>
      <c r="M11" s="74"/>
      <c r="N11" s="74"/>
      <c r="O11" s="74"/>
      <c r="P11" s="74"/>
      <c r="Q11" s="74"/>
      <c r="R11" s="74"/>
      <c r="S11" s="74"/>
      <c r="T11" s="74"/>
      <c r="U11" s="74"/>
      <c r="V11" s="74"/>
    </row>
    <row r="12" spans="1:22" ht="85.5" customHeight="1" x14ac:dyDescent="0.2">
      <c r="A12" s="76" t="s">
        <v>151</v>
      </c>
      <c r="B12" s="81" t="s">
        <v>152</v>
      </c>
      <c r="C12" s="102" t="s">
        <v>153</v>
      </c>
      <c r="D12" s="103"/>
      <c r="E12" s="104"/>
      <c r="F12" s="74"/>
      <c r="G12" s="74"/>
      <c r="H12" s="74"/>
      <c r="I12" s="74"/>
      <c r="J12" s="74"/>
      <c r="K12" s="74"/>
      <c r="L12" s="74"/>
      <c r="M12" s="74"/>
      <c r="N12" s="74"/>
      <c r="O12" s="74"/>
      <c r="P12" s="74"/>
      <c r="Q12" s="74"/>
      <c r="R12" s="74"/>
      <c r="S12" s="74"/>
      <c r="T12" s="74"/>
      <c r="U12" s="74"/>
      <c r="V12" s="74"/>
    </row>
    <row r="13" spans="1:22" ht="20.25" x14ac:dyDescent="0.2">
      <c r="A13" s="76"/>
      <c r="B13" s="76"/>
      <c r="C13" s="82"/>
      <c r="D13" s="82"/>
      <c r="E13" s="82"/>
      <c r="F13" s="74"/>
      <c r="G13" s="74"/>
      <c r="H13" s="74"/>
      <c r="I13" s="74"/>
      <c r="J13" s="74"/>
      <c r="K13" s="74"/>
      <c r="L13" s="74"/>
      <c r="M13" s="74"/>
      <c r="N13" s="74"/>
      <c r="O13" s="74"/>
      <c r="P13" s="74"/>
      <c r="Q13" s="74"/>
      <c r="R13" s="74"/>
      <c r="S13" s="74"/>
      <c r="T13" s="74"/>
      <c r="U13" s="74"/>
      <c r="V13" s="74"/>
    </row>
    <row r="14" spans="1:22" ht="15" x14ac:dyDescent="0.2">
      <c r="A14" s="76"/>
      <c r="B14" s="83"/>
      <c r="C14" s="83"/>
      <c r="D14" s="83"/>
      <c r="E14" s="83"/>
      <c r="F14" s="74"/>
      <c r="G14" s="74"/>
      <c r="H14" s="74"/>
      <c r="I14" s="74"/>
      <c r="J14" s="74"/>
      <c r="K14" s="74"/>
      <c r="L14" s="74"/>
      <c r="M14" s="74"/>
      <c r="N14" s="74"/>
      <c r="O14" s="74"/>
      <c r="P14" s="74"/>
      <c r="Q14" s="74"/>
      <c r="R14" s="74"/>
      <c r="S14" s="74"/>
      <c r="T14" s="74"/>
      <c r="U14" s="74"/>
      <c r="V14" s="74"/>
    </row>
    <row r="15" spans="1:22" x14ac:dyDescent="0.2">
      <c r="A15" s="76"/>
      <c r="B15" s="76" t="s">
        <v>154</v>
      </c>
      <c r="C15" s="76" t="s">
        <v>155</v>
      </c>
      <c r="D15" s="76"/>
      <c r="E15" s="76" t="s">
        <v>156</v>
      </c>
      <c r="F15" s="74"/>
      <c r="G15" s="74"/>
      <c r="H15" s="74"/>
      <c r="I15" s="74"/>
      <c r="J15" s="74"/>
      <c r="K15" s="74"/>
      <c r="L15" s="74"/>
      <c r="M15" s="74"/>
      <c r="N15" s="74"/>
      <c r="O15" s="74"/>
      <c r="P15" s="74"/>
      <c r="Q15" s="74"/>
      <c r="R15" s="74"/>
      <c r="S15" s="74"/>
      <c r="T15" s="74"/>
      <c r="U15" s="74"/>
      <c r="V15" s="74"/>
    </row>
    <row r="16" spans="1:22" x14ac:dyDescent="0.2">
      <c r="A16" s="76"/>
      <c r="B16" s="76" t="s">
        <v>157</v>
      </c>
      <c r="C16" s="76" t="s">
        <v>158</v>
      </c>
      <c r="D16" s="76"/>
      <c r="E16" s="76" t="s">
        <v>159</v>
      </c>
      <c r="F16" s="74"/>
      <c r="G16" s="74"/>
      <c r="H16" s="74"/>
      <c r="I16" s="74"/>
      <c r="J16" s="74"/>
      <c r="K16" s="74"/>
      <c r="L16" s="74"/>
      <c r="M16" s="74"/>
      <c r="N16" s="74"/>
      <c r="O16" s="74"/>
      <c r="P16" s="74"/>
      <c r="Q16" s="74"/>
      <c r="R16" s="74"/>
      <c r="S16" s="74"/>
      <c r="T16" s="74"/>
      <c r="U16" s="74"/>
      <c r="V16" s="74"/>
    </row>
    <row r="17" spans="1:22" x14ac:dyDescent="0.2">
      <c r="A17" s="76"/>
      <c r="B17" s="76"/>
      <c r="C17" s="76" t="s">
        <v>160</v>
      </c>
      <c r="D17" s="76"/>
      <c r="E17" s="76" t="s">
        <v>161</v>
      </c>
      <c r="F17" s="74"/>
      <c r="G17" s="74"/>
      <c r="H17" s="74"/>
      <c r="I17" s="74"/>
      <c r="J17" s="74"/>
      <c r="K17" s="74"/>
      <c r="L17" s="74"/>
      <c r="M17" s="74"/>
      <c r="N17" s="74"/>
      <c r="O17" s="74"/>
      <c r="P17" s="74"/>
      <c r="Q17" s="74"/>
      <c r="R17" s="74"/>
      <c r="S17" s="74"/>
      <c r="T17" s="74"/>
      <c r="U17" s="74"/>
      <c r="V17" s="74"/>
    </row>
    <row r="18" spans="1:22" x14ac:dyDescent="0.2">
      <c r="A18" s="76"/>
      <c r="B18" s="76"/>
      <c r="C18" s="76" t="s">
        <v>98</v>
      </c>
      <c r="D18" s="76"/>
      <c r="E18" s="76" t="s">
        <v>162</v>
      </c>
      <c r="F18" s="74"/>
      <c r="G18" s="74"/>
      <c r="H18" s="74"/>
      <c r="I18" s="74"/>
      <c r="J18" s="74"/>
      <c r="K18" s="74"/>
      <c r="L18" s="74"/>
      <c r="M18" s="74"/>
      <c r="N18" s="74"/>
      <c r="O18" s="74"/>
      <c r="P18" s="74"/>
      <c r="Q18" s="74"/>
      <c r="R18" s="74"/>
      <c r="S18" s="74"/>
      <c r="T18" s="74"/>
      <c r="U18" s="74"/>
      <c r="V18" s="74"/>
    </row>
    <row r="19" spans="1:22" x14ac:dyDescent="0.2">
      <c r="A19" s="76"/>
      <c r="B19" s="76"/>
      <c r="C19" s="76" t="s">
        <v>163</v>
      </c>
      <c r="D19" s="76"/>
      <c r="E19" s="76" t="s">
        <v>164</v>
      </c>
      <c r="F19" s="74"/>
      <c r="G19" s="74"/>
      <c r="H19" s="74"/>
      <c r="I19" s="74"/>
      <c r="J19" s="74"/>
      <c r="K19" s="74"/>
      <c r="L19" s="74"/>
      <c r="M19" s="74"/>
      <c r="N19" s="74"/>
      <c r="O19" s="74"/>
      <c r="P19" s="74"/>
      <c r="Q19" s="74"/>
      <c r="R19" s="74"/>
      <c r="S19" s="74"/>
      <c r="T19" s="74"/>
      <c r="U19" s="74"/>
      <c r="V19" s="74"/>
    </row>
    <row r="20" spans="1:22" x14ac:dyDescent="0.2">
      <c r="A20" s="76"/>
      <c r="B20" s="76"/>
      <c r="C20" s="76"/>
      <c r="D20" s="76"/>
      <c r="E20" s="76"/>
      <c r="F20" s="74"/>
      <c r="G20" s="74"/>
      <c r="H20" s="74"/>
      <c r="I20" s="74"/>
      <c r="J20" s="74"/>
      <c r="K20" s="74"/>
      <c r="L20" s="74"/>
      <c r="M20" s="74"/>
      <c r="N20" s="74"/>
      <c r="O20" s="74"/>
      <c r="P20" s="74"/>
    </row>
    <row r="21" spans="1:22" x14ac:dyDescent="0.2">
      <c r="A21" s="76"/>
      <c r="B21" s="76"/>
      <c r="C21" s="76"/>
      <c r="D21" s="76"/>
      <c r="E21" s="76"/>
      <c r="F21" s="74"/>
      <c r="G21" s="74"/>
      <c r="H21" s="74"/>
      <c r="I21" s="74"/>
      <c r="J21" s="74"/>
      <c r="K21" s="74"/>
      <c r="L21" s="74"/>
      <c r="M21" s="74"/>
      <c r="N21" s="74"/>
      <c r="O21" s="74"/>
      <c r="P21" s="74"/>
    </row>
    <row r="22" spans="1:22" x14ac:dyDescent="0.2">
      <c r="A22" s="76"/>
      <c r="B22" s="84"/>
      <c r="C22" s="84"/>
      <c r="D22" s="84"/>
      <c r="E22" s="84"/>
      <c r="F22" s="74"/>
      <c r="G22" s="74"/>
      <c r="H22" s="74"/>
      <c r="I22" s="74"/>
      <c r="J22" s="74"/>
      <c r="K22" s="74"/>
      <c r="L22" s="74"/>
      <c r="M22" s="74"/>
      <c r="N22" s="74"/>
      <c r="O22" s="74"/>
      <c r="P22" s="74"/>
    </row>
    <row r="23" spans="1:22" x14ac:dyDescent="0.2">
      <c r="A23" s="76"/>
      <c r="B23" s="84"/>
      <c r="C23" s="84"/>
      <c r="D23" s="84"/>
      <c r="E23" s="84"/>
      <c r="F23" s="74"/>
      <c r="G23" s="74"/>
      <c r="H23" s="74"/>
      <c r="I23" s="74"/>
      <c r="J23" s="74"/>
      <c r="K23" s="74"/>
      <c r="L23" s="74"/>
      <c r="M23" s="74"/>
      <c r="N23" s="74"/>
      <c r="O23" s="74"/>
      <c r="P23" s="74"/>
    </row>
    <row r="24" spans="1:22" x14ac:dyDescent="0.2">
      <c r="A24" s="76"/>
      <c r="B24" s="84"/>
      <c r="C24" s="84"/>
      <c r="D24" s="84"/>
      <c r="E24" s="84"/>
      <c r="F24" s="74"/>
      <c r="G24" s="74"/>
      <c r="H24" s="74"/>
      <c r="I24" s="74"/>
      <c r="J24" s="74"/>
      <c r="K24" s="74"/>
      <c r="L24" s="74"/>
      <c r="M24" s="74"/>
      <c r="N24" s="74"/>
      <c r="O24" s="74"/>
      <c r="P24" s="74"/>
    </row>
    <row r="25" spans="1:22" x14ac:dyDescent="0.2">
      <c r="A25" s="76"/>
      <c r="B25" s="84"/>
      <c r="C25" s="84"/>
      <c r="D25" s="84"/>
      <c r="E25" s="84"/>
      <c r="F25" s="74"/>
      <c r="G25" s="74"/>
      <c r="H25" s="74"/>
      <c r="I25" s="74"/>
      <c r="J25" s="74"/>
      <c r="K25" s="74"/>
      <c r="L25" s="74"/>
      <c r="M25" s="74"/>
      <c r="N25" s="74"/>
      <c r="O25" s="74"/>
      <c r="P25" s="74"/>
    </row>
    <row r="26" spans="1:22" ht="20.25" x14ac:dyDescent="0.2">
      <c r="A26" s="76"/>
      <c r="B26" s="76"/>
      <c r="C26" s="82"/>
      <c r="D26" s="82"/>
      <c r="E26" s="82"/>
      <c r="F26" s="74"/>
      <c r="G26" s="74"/>
      <c r="H26" s="74"/>
      <c r="I26" s="74"/>
      <c r="J26" s="74"/>
      <c r="K26" s="74"/>
      <c r="L26" s="74"/>
      <c r="M26" s="74"/>
      <c r="N26" s="74"/>
      <c r="O26" s="74"/>
      <c r="P26" s="74"/>
    </row>
    <row r="27" spans="1:22" ht="20.25" x14ac:dyDescent="0.2">
      <c r="A27" s="76"/>
      <c r="B27" s="76"/>
      <c r="C27" s="82"/>
      <c r="D27" s="82"/>
      <c r="E27" s="82"/>
      <c r="F27" s="74"/>
      <c r="G27" s="74"/>
      <c r="H27" s="74"/>
      <c r="I27" s="74"/>
      <c r="J27" s="74"/>
      <c r="K27" s="74"/>
      <c r="L27" s="74"/>
      <c r="M27" s="74"/>
      <c r="N27" s="74"/>
      <c r="O27" s="74"/>
      <c r="P27" s="74"/>
    </row>
    <row r="28" spans="1:22" ht="20.25" x14ac:dyDescent="0.2">
      <c r="A28" s="76"/>
      <c r="B28" s="76"/>
      <c r="C28" s="82"/>
      <c r="D28" s="82"/>
      <c r="E28" s="82"/>
      <c r="F28" s="74"/>
      <c r="G28" s="74"/>
      <c r="H28" s="74"/>
      <c r="I28" s="74"/>
      <c r="J28" s="74"/>
      <c r="K28" s="74"/>
      <c r="L28" s="74"/>
      <c r="M28" s="74"/>
      <c r="N28" s="74"/>
      <c r="O28" s="74"/>
      <c r="P28" s="74"/>
    </row>
    <row r="29" spans="1:22" ht="20.25" x14ac:dyDescent="0.2">
      <c r="A29" s="76"/>
      <c r="B29" s="76"/>
      <c r="C29" s="82"/>
      <c r="D29" s="82"/>
      <c r="E29" s="82"/>
      <c r="F29" s="74"/>
      <c r="G29" s="74"/>
      <c r="H29" s="74"/>
      <c r="I29" s="74"/>
      <c r="J29" s="74"/>
      <c r="K29" s="74"/>
      <c r="L29" s="74"/>
      <c r="M29" s="74"/>
      <c r="N29" s="74"/>
      <c r="O29" s="74"/>
      <c r="P29" s="74"/>
    </row>
    <row r="30" spans="1:22" ht="20.25" x14ac:dyDescent="0.2">
      <c r="A30" s="76"/>
      <c r="B30" s="76"/>
      <c r="C30" s="82"/>
      <c r="D30" s="82"/>
      <c r="E30" s="82"/>
      <c r="F30" s="74"/>
      <c r="G30" s="74"/>
      <c r="H30" s="74"/>
      <c r="I30" s="74"/>
      <c r="J30" s="74"/>
      <c r="K30" s="74"/>
      <c r="L30" s="74"/>
      <c r="M30" s="74"/>
      <c r="N30" s="74"/>
      <c r="O30" s="74"/>
      <c r="P30" s="74"/>
    </row>
    <row r="31" spans="1:22" ht="20.25" x14ac:dyDescent="0.2">
      <c r="A31" s="76"/>
      <c r="B31" s="76"/>
      <c r="C31" s="82"/>
      <c r="D31" s="82"/>
      <c r="E31" s="82"/>
      <c r="F31" s="74"/>
      <c r="G31" s="74"/>
      <c r="H31" s="74"/>
      <c r="I31" s="74"/>
      <c r="J31" s="74"/>
      <c r="K31" s="74"/>
      <c r="L31" s="74"/>
      <c r="M31" s="74"/>
      <c r="N31" s="74"/>
      <c r="O31" s="74"/>
      <c r="P31" s="74"/>
    </row>
    <row r="32" spans="1:22" ht="20.25" x14ac:dyDescent="0.2">
      <c r="A32" s="76"/>
      <c r="B32" s="76"/>
      <c r="C32" s="82"/>
      <c r="D32" s="82"/>
      <c r="E32" s="82"/>
      <c r="F32" s="74"/>
      <c r="G32" s="74"/>
      <c r="H32" s="74"/>
      <c r="I32" s="74"/>
      <c r="J32" s="74"/>
      <c r="K32" s="74"/>
      <c r="L32" s="74"/>
      <c r="M32" s="74"/>
      <c r="N32" s="74"/>
      <c r="O32" s="74"/>
      <c r="P32" s="74"/>
    </row>
    <row r="33" spans="1:16" ht="20.25" x14ac:dyDescent="0.2">
      <c r="A33" s="76"/>
      <c r="B33" s="76"/>
      <c r="C33" s="82"/>
      <c r="D33" s="82"/>
      <c r="E33" s="82"/>
      <c r="F33" s="74"/>
      <c r="G33" s="74"/>
      <c r="H33" s="74"/>
      <c r="I33" s="74"/>
      <c r="J33" s="74"/>
      <c r="K33" s="74"/>
      <c r="L33" s="74"/>
      <c r="M33" s="74"/>
      <c r="N33" s="74"/>
      <c r="O33" s="74"/>
      <c r="P33" s="74"/>
    </row>
    <row r="34" spans="1:16" ht="20.25" x14ac:dyDescent="0.2">
      <c r="A34" s="76"/>
      <c r="B34" s="76"/>
      <c r="C34" s="82"/>
      <c r="D34" s="82"/>
      <c r="E34" s="82"/>
      <c r="F34" s="74"/>
      <c r="G34" s="74"/>
      <c r="H34" s="74"/>
      <c r="I34" s="74"/>
      <c r="J34" s="74"/>
      <c r="K34" s="74"/>
      <c r="L34" s="74"/>
      <c r="M34" s="74"/>
      <c r="N34" s="74"/>
      <c r="O34" s="74"/>
      <c r="P34" s="74"/>
    </row>
    <row r="35" spans="1:16" ht="20.25" x14ac:dyDescent="0.2">
      <c r="A35" s="76"/>
      <c r="B35" s="76"/>
      <c r="C35" s="82"/>
      <c r="D35" s="82"/>
      <c r="E35" s="82"/>
      <c r="F35" s="74"/>
      <c r="G35" s="74"/>
      <c r="H35" s="74"/>
      <c r="I35" s="74"/>
      <c r="J35" s="74"/>
      <c r="K35" s="74"/>
      <c r="L35" s="74"/>
      <c r="M35" s="74"/>
      <c r="N35" s="74"/>
      <c r="O35" s="74"/>
      <c r="P35" s="74"/>
    </row>
    <row r="36" spans="1:16" ht="20.25" x14ac:dyDescent="0.2">
      <c r="A36" s="76"/>
      <c r="B36" s="76"/>
      <c r="C36" s="82"/>
      <c r="D36" s="82"/>
      <c r="E36" s="82"/>
      <c r="F36" s="74"/>
      <c r="G36" s="74"/>
      <c r="H36" s="74"/>
      <c r="I36" s="74"/>
      <c r="J36" s="74"/>
      <c r="K36" s="74"/>
      <c r="L36" s="74"/>
      <c r="M36" s="74"/>
      <c r="N36" s="74"/>
      <c r="O36" s="74"/>
      <c r="P36" s="74"/>
    </row>
    <row r="37" spans="1:16" ht="20.25" x14ac:dyDescent="0.2">
      <c r="A37" s="76"/>
      <c r="B37" s="76"/>
      <c r="C37" s="82"/>
      <c r="D37" s="82"/>
      <c r="E37" s="82"/>
      <c r="F37" s="74"/>
      <c r="G37" s="74"/>
      <c r="H37" s="74"/>
      <c r="I37" s="74"/>
      <c r="J37" s="74"/>
      <c r="K37" s="74"/>
      <c r="L37" s="74"/>
      <c r="M37" s="74"/>
      <c r="N37" s="74"/>
      <c r="O37" s="74"/>
      <c r="P37" s="74"/>
    </row>
    <row r="38" spans="1:16" ht="20.25" x14ac:dyDescent="0.2">
      <c r="A38" s="76"/>
      <c r="B38" s="76"/>
      <c r="C38" s="82"/>
      <c r="D38" s="82"/>
      <c r="E38" s="82"/>
      <c r="F38" s="74"/>
      <c r="G38" s="74"/>
      <c r="H38" s="74"/>
      <c r="I38" s="74"/>
      <c r="J38" s="74"/>
      <c r="K38" s="74"/>
      <c r="L38" s="74"/>
      <c r="M38" s="74"/>
      <c r="N38" s="74"/>
      <c r="O38" s="74"/>
      <c r="P38" s="74"/>
    </row>
    <row r="39" spans="1:16" ht="20.25" x14ac:dyDescent="0.2">
      <c r="A39" s="76"/>
      <c r="B39" s="76"/>
      <c r="C39" s="82"/>
      <c r="D39" s="82"/>
      <c r="E39" s="82"/>
      <c r="F39" s="74"/>
      <c r="G39" s="74"/>
      <c r="H39" s="74"/>
      <c r="I39" s="74"/>
      <c r="J39" s="74"/>
      <c r="K39" s="74"/>
      <c r="L39" s="74"/>
      <c r="M39" s="74"/>
      <c r="N39" s="74"/>
      <c r="O39" s="74"/>
      <c r="P39" s="74"/>
    </row>
    <row r="40" spans="1:16" ht="20.25" x14ac:dyDescent="0.2">
      <c r="A40" s="76"/>
      <c r="B40" s="76"/>
      <c r="C40" s="82"/>
      <c r="D40" s="82"/>
      <c r="E40" s="82"/>
      <c r="F40" s="74"/>
      <c r="G40" s="74"/>
      <c r="H40" s="74"/>
      <c r="I40" s="74"/>
      <c r="J40" s="74"/>
      <c r="K40" s="74"/>
      <c r="L40" s="74"/>
      <c r="M40" s="74"/>
      <c r="N40" s="74"/>
      <c r="O40" s="74"/>
      <c r="P40" s="74"/>
    </row>
    <row r="41" spans="1:16" ht="20.25" x14ac:dyDescent="0.2">
      <c r="A41" s="76"/>
      <c r="B41" s="76"/>
      <c r="C41" s="82"/>
      <c r="D41" s="82"/>
      <c r="E41" s="82"/>
      <c r="F41" s="74"/>
      <c r="G41" s="74"/>
      <c r="H41" s="74"/>
      <c r="I41" s="74"/>
      <c r="J41" s="74"/>
      <c r="K41" s="74"/>
      <c r="L41" s="74"/>
      <c r="M41" s="74"/>
      <c r="N41" s="74"/>
      <c r="O41" s="74"/>
      <c r="P41" s="74"/>
    </row>
    <row r="42" spans="1:16" ht="20.25" x14ac:dyDescent="0.2">
      <c r="A42" s="76"/>
      <c r="B42" s="76"/>
      <c r="C42" s="82"/>
      <c r="D42" s="82"/>
      <c r="E42" s="82"/>
      <c r="F42" s="74"/>
      <c r="G42" s="74"/>
      <c r="H42" s="74"/>
      <c r="I42" s="74"/>
      <c r="J42" s="74"/>
      <c r="K42" s="74"/>
      <c r="L42" s="74"/>
      <c r="M42" s="74"/>
      <c r="N42" s="74"/>
      <c r="O42" s="74"/>
      <c r="P42" s="74"/>
    </row>
    <row r="43" spans="1:16" ht="20.25" x14ac:dyDescent="0.2">
      <c r="A43" s="76"/>
      <c r="B43" s="76"/>
      <c r="C43" s="82"/>
      <c r="D43" s="82"/>
      <c r="E43" s="82"/>
      <c r="F43" s="74"/>
      <c r="G43" s="74"/>
      <c r="H43" s="74"/>
      <c r="I43" s="74"/>
      <c r="J43" s="74"/>
      <c r="K43" s="74"/>
      <c r="L43" s="74"/>
      <c r="M43" s="74"/>
      <c r="N43" s="74"/>
      <c r="O43" s="74"/>
      <c r="P43" s="74"/>
    </row>
    <row r="44" spans="1:16" ht="20.25" x14ac:dyDescent="0.2">
      <c r="A44" s="76"/>
      <c r="B44" s="76"/>
      <c r="C44" s="82"/>
      <c r="D44" s="82"/>
      <c r="E44" s="82"/>
      <c r="F44" s="74"/>
      <c r="G44" s="74"/>
      <c r="H44" s="74"/>
      <c r="I44" s="74"/>
      <c r="J44" s="74"/>
      <c r="K44" s="74"/>
      <c r="L44" s="74"/>
      <c r="M44" s="74"/>
      <c r="N44" s="74"/>
      <c r="O44" s="74"/>
      <c r="P44" s="74"/>
    </row>
    <row r="45" spans="1:16" ht="20.25" x14ac:dyDescent="0.2">
      <c r="A45" s="76"/>
      <c r="B45" s="76"/>
      <c r="C45" s="82"/>
      <c r="D45" s="82"/>
      <c r="E45" s="82"/>
      <c r="F45" s="74"/>
      <c r="G45" s="74"/>
      <c r="H45" s="74"/>
      <c r="I45" s="74"/>
      <c r="J45" s="74"/>
      <c r="K45" s="74"/>
      <c r="L45" s="74"/>
      <c r="M45" s="74"/>
      <c r="N45" s="74"/>
      <c r="O45" s="74"/>
      <c r="P45" s="74"/>
    </row>
    <row r="46" spans="1:16" ht="20.25" x14ac:dyDescent="0.2">
      <c r="A46" s="76"/>
      <c r="B46" s="76"/>
      <c r="C46" s="82"/>
      <c r="D46" s="82"/>
      <c r="E46" s="82"/>
      <c r="F46" s="74"/>
      <c r="G46" s="74"/>
      <c r="H46" s="74"/>
      <c r="I46" s="74"/>
      <c r="J46" s="74"/>
      <c r="K46" s="74"/>
      <c r="L46" s="74"/>
      <c r="M46" s="74"/>
      <c r="N46" s="74"/>
      <c r="O46" s="74"/>
      <c r="P46" s="74"/>
    </row>
    <row r="47" spans="1:16" ht="20.25" x14ac:dyDescent="0.2">
      <c r="A47" s="76"/>
      <c r="B47" s="76"/>
      <c r="C47" s="82"/>
      <c r="D47" s="82"/>
      <c r="E47" s="82"/>
      <c r="F47" s="74"/>
      <c r="G47" s="74"/>
      <c r="H47" s="74"/>
      <c r="I47" s="74"/>
      <c r="J47" s="74"/>
      <c r="K47" s="74"/>
      <c r="L47" s="74"/>
      <c r="M47" s="74"/>
      <c r="N47" s="74"/>
      <c r="O47" s="74"/>
      <c r="P47" s="74"/>
    </row>
    <row r="48" spans="1:16" ht="20.25" x14ac:dyDescent="0.2">
      <c r="A48" s="76"/>
      <c r="B48" s="76"/>
      <c r="C48" s="82"/>
      <c r="D48" s="82"/>
      <c r="E48" s="82"/>
      <c r="F48" s="74"/>
      <c r="G48" s="74"/>
      <c r="H48" s="74"/>
      <c r="I48" s="74"/>
      <c r="J48" s="74"/>
      <c r="K48" s="74"/>
      <c r="L48" s="74"/>
      <c r="M48" s="74"/>
      <c r="N48" s="74"/>
      <c r="O48" s="74"/>
      <c r="P48" s="74"/>
    </row>
    <row r="49" spans="1:16" ht="20.25" x14ac:dyDescent="0.2">
      <c r="A49" s="76"/>
      <c r="B49" s="76"/>
      <c r="C49" s="82"/>
      <c r="D49" s="82"/>
      <c r="E49" s="82"/>
      <c r="F49" s="74"/>
      <c r="G49" s="74"/>
      <c r="H49" s="74"/>
      <c r="I49" s="74"/>
      <c r="J49" s="74"/>
      <c r="K49" s="74"/>
      <c r="L49" s="74"/>
      <c r="M49" s="74"/>
      <c r="N49" s="74"/>
      <c r="O49" s="74"/>
      <c r="P49" s="74"/>
    </row>
    <row r="50" spans="1:16" ht="20.25" x14ac:dyDescent="0.2">
      <c r="A50" s="76"/>
      <c r="B50" s="76"/>
      <c r="C50" s="82"/>
      <c r="D50" s="82"/>
      <c r="E50" s="82"/>
      <c r="F50" s="74"/>
      <c r="G50" s="74"/>
      <c r="H50" s="74"/>
      <c r="I50" s="74"/>
      <c r="J50" s="74"/>
      <c r="K50" s="74"/>
      <c r="L50" s="74"/>
      <c r="M50" s="74"/>
      <c r="N50" s="74"/>
      <c r="O50" s="74"/>
      <c r="P50" s="74"/>
    </row>
    <row r="51" spans="1:16" ht="20.25" x14ac:dyDescent="0.2">
      <c r="A51" s="76"/>
      <c r="B51" s="76"/>
      <c r="C51" s="82"/>
      <c r="D51" s="82"/>
      <c r="E51" s="82"/>
      <c r="F51" s="74"/>
      <c r="G51" s="74"/>
      <c r="H51" s="74"/>
      <c r="I51" s="74"/>
      <c r="J51" s="74"/>
      <c r="K51" s="74"/>
      <c r="L51" s="74"/>
      <c r="M51" s="74"/>
      <c r="N51" s="74"/>
      <c r="O51" s="74"/>
      <c r="P51" s="74"/>
    </row>
    <row r="52" spans="1:16" ht="20.25" x14ac:dyDescent="0.2">
      <c r="A52" s="76"/>
      <c r="B52" s="76"/>
      <c r="C52" s="82"/>
      <c r="D52" s="82"/>
      <c r="E52" s="82"/>
      <c r="F52" s="74"/>
      <c r="G52" s="74"/>
      <c r="H52" s="74"/>
      <c r="I52" s="74"/>
      <c r="J52" s="74"/>
      <c r="K52" s="74"/>
      <c r="L52" s="74"/>
      <c r="M52" s="74"/>
      <c r="N52" s="74"/>
      <c r="O52" s="74"/>
      <c r="P52" s="74"/>
    </row>
    <row r="53" spans="1:16" ht="20.25" x14ac:dyDescent="0.2">
      <c r="A53" s="76"/>
      <c r="B53" s="76"/>
      <c r="C53" s="82"/>
      <c r="D53" s="82"/>
      <c r="E53" s="82"/>
      <c r="F53" s="74"/>
      <c r="G53" s="74"/>
      <c r="H53" s="74"/>
      <c r="I53" s="74"/>
      <c r="J53" s="74"/>
      <c r="K53" s="74"/>
      <c r="L53" s="74"/>
      <c r="M53" s="74"/>
      <c r="N53" s="74"/>
      <c r="O53" s="74"/>
      <c r="P53" s="74"/>
    </row>
    <row r="54" spans="1:16" ht="20.25" x14ac:dyDescent="0.2">
      <c r="A54" s="76"/>
      <c r="B54" s="76"/>
      <c r="C54" s="82"/>
      <c r="D54" s="82"/>
      <c r="E54" s="82"/>
      <c r="F54" s="74"/>
      <c r="G54" s="74"/>
      <c r="H54" s="74"/>
      <c r="I54" s="74"/>
      <c r="J54" s="74"/>
      <c r="K54" s="74"/>
      <c r="L54" s="74"/>
      <c r="M54" s="74"/>
      <c r="N54" s="74"/>
      <c r="O54" s="74"/>
      <c r="P54" s="74"/>
    </row>
    <row r="55" spans="1:16" ht="20.25" x14ac:dyDescent="0.2">
      <c r="A55" s="76"/>
      <c r="B55" s="76"/>
      <c r="C55" s="82"/>
      <c r="D55" s="82"/>
      <c r="E55" s="82"/>
      <c r="F55" s="74"/>
      <c r="G55" s="74"/>
      <c r="H55" s="74"/>
      <c r="I55" s="74"/>
      <c r="J55" s="74"/>
      <c r="K55" s="74"/>
      <c r="L55" s="74"/>
      <c r="M55" s="74"/>
      <c r="N55" s="74"/>
      <c r="O55" s="74"/>
      <c r="P55" s="74"/>
    </row>
    <row r="56" spans="1:16" ht="20.25" x14ac:dyDescent="0.2">
      <c r="A56" s="76"/>
      <c r="B56" s="85"/>
      <c r="C56" s="86"/>
      <c r="D56" s="86"/>
      <c r="E56" s="86"/>
    </row>
    <row r="57" spans="1:16" ht="20.25" x14ac:dyDescent="0.2">
      <c r="A57" s="76"/>
      <c r="B57" s="85"/>
      <c r="C57" s="86"/>
      <c r="D57" s="86"/>
      <c r="E57" s="86"/>
    </row>
    <row r="58" spans="1:16" ht="20.25" x14ac:dyDescent="0.2">
      <c r="A58" s="76"/>
      <c r="B58" s="85"/>
      <c r="C58" s="86"/>
      <c r="D58" s="86"/>
      <c r="E58" s="86"/>
    </row>
    <row r="59" spans="1:16" ht="20.25" x14ac:dyDescent="0.2">
      <c r="A59" s="76"/>
      <c r="B59" s="85"/>
      <c r="C59" s="86"/>
      <c r="D59" s="86"/>
      <c r="E59" s="86"/>
    </row>
    <row r="60" spans="1:16" ht="20.25" x14ac:dyDescent="0.2">
      <c r="A60" s="76"/>
      <c r="B60" s="85"/>
      <c r="C60" s="86"/>
      <c r="D60" s="86"/>
      <c r="E60" s="86"/>
    </row>
    <row r="61" spans="1:16" ht="20.25" x14ac:dyDescent="0.2">
      <c r="A61" s="76"/>
      <c r="B61" s="85"/>
      <c r="C61" s="86"/>
      <c r="D61" s="86"/>
      <c r="E61" s="86"/>
    </row>
    <row r="62" spans="1:16" ht="20.25" x14ac:dyDescent="0.2">
      <c r="A62" s="76"/>
      <c r="B62" s="85"/>
      <c r="C62" s="86"/>
      <c r="D62" s="86"/>
      <c r="E62" s="86"/>
    </row>
    <row r="63" spans="1:16" ht="20.25" x14ac:dyDescent="0.2">
      <c r="A63" s="76"/>
      <c r="B63" s="85"/>
      <c r="C63" s="86"/>
      <c r="D63" s="86"/>
      <c r="E63" s="86"/>
    </row>
    <row r="64" spans="1:16" ht="20.25" x14ac:dyDescent="0.2">
      <c r="A64" s="76"/>
      <c r="B64" s="85"/>
      <c r="C64" s="86"/>
      <c r="D64" s="86"/>
      <c r="E64" s="86"/>
    </row>
    <row r="65" spans="1:5" ht="20.25" x14ac:dyDescent="0.2">
      <c r="A65" s="76"/>
      <c r="B65" s="85"/>
      <c r="C65" s="86"/>
      <c r="D65" s="86"/>
      <c r="E65" s="86"/>
    </row>
    <row r="66" spans="1:5" ht="20.25" x14ac:dyDescent="0.2">
      <c r="A66" s="76"/>
      <c r="B66" s="85"/>
      <c r="C66" s="86"/>
      <c r="D66" s="86"/>
      <c r="E66" s="86"/>
    </row>
    <row r="67" spans="1:5" ht="20.25" x14ac:dyDescent="0.2">
      <c r="A67" s="76"/>
      <c r="B67" s="85"/>
      <c r="C67" s="86"/>
      <c r="D67" s="86"/>
      <c r="E67" s="86"/>
    </row>
    <row r="68" spans="1:5" ht="20.25" x14ac:dyDescent="0.2">
      <c r="A68" s="76"/>
      <c r="B68" s="85"/>
      <c r="C68" s="86"/>
      <c r="D68" s="86"/>
      <c r="E68" s="86"/>
    </row>
    <row r="69" spans="1:5" ht="20.25" x14ac:dyDescent="0.2">
      <c r="A69" s="76"/>
      <c r="B69" s="85"/>
      <c r="C69" s="86"/>
      <c r="D69" s="86"/>
      <c r="E69" s="86"/>
    </row>
    <row r="70" spans="1:5" ht="20.25" x14ac:dyDescent="0.2">
      <c r="A70" s="76"/>
      <c r="B70" s="85"/>
      <c r="C70" s="86"/>
      <c r="D70" s="86"/>
      <c r="E70" s="86"/>
    </row>
    <row r="71" spans="1:5" ht="20.25" x14ac:dyDescent="0.2">
      <c r="A71" s="76"/>
      <c r="B71" s="85"/>
      <c r="C71" s="86"/>
      <c r="D71" s="86"/>
      <c r="E71" s="86"/>
    </row>
    <row r="72" spans="1:5" ht="20.25" x14ac:dyDescent="0.2">
      <c r="A72" s="76"/>
      <c r="B72" s="85"/>
      <c r="C72" s="86"/>
      <c r="D72" s="86"/>
      <c r="E72" s="86"/>
    </row>
    <row r="73" spans="1:5" ht="20.25" x14ac:dyDescent="0.2">
      <c r="A73" s="76"/>
      <c r="B73" s="85"/>
      <c r="C73" s="86"/>
      <c r="D73" s="86"/>
      <c r="E73" s="86"/>
    </row>
    <row r="74" spans="1:5" ht="20.25" x14ac:dyDescent="0.2">
      <c r="A74" s="76"/>
      <c r="B74" s="85"/>
      <c r="C74" s="86"/>
      <c r="D74" s="86"/>
      <c r="E74" s="86"/>
    </row>
    <row r="75" spans="1:5" ht="20.25" x14ac:dyDescent="0.2">
      <c r="A75" s="76"/>
      <c r="B75" s="85"/>
      <c r="C75" s="86"/>
      <c r="D75" s="86"/>
      <c r="E75" s="86"/>
    </row>
    <row r="76" spans="1:5" ht="20.25" x14ac:dyDescent="0.2">
      <c r="A76" s="76"/>
      <c r="B76" s="85"/>
      <c r="C76" s="86"/>
      <c r="D76" s="86"/>
      <c r="E76" s="86"/>
    </row>
    <row r="77" spans="1:5" ht="20.25" x14ac:dyDescent="0.2">
      <c r="A77" s="76"/>
      <c r="B77" s="85"/>
      <c r="C77" s="86"/>
      <c r="D77" s="86"/>
      <c r="E77" s="86"/>
    </row>
    <row r="78" spans="1:5" ht="20.25" x14ac:dyDescent="0.2">
      <c r="A78" s="76"/>
      <c r="B78" s="85"/>
      <c r="C78" s="86"/>
      <c r="D78" s="86"/>
      <c r="E78" s="86"/>
    </row>
    <row r="79" spans="1:5" ht="20.25" x14ac:dyDescent="0.2">
      <c r="A79" s="76"/>
      <c r="B79" s="85"/>
      <c r="C79" s="86"/>
      <c r="D79" s="86"/>
      <c r="E79" s="86"/>
    </row>
    <row r="80" spans="1:5" ht="20.25" x14ac:dyDescent="0.2">
      <c r="A80" s="76"/>
      <c r="B80" s="85"/>
      <c r="C80" s="86"/>
      <c r="D80" s="86"/>
      <c r="E80" s="86"/>
    </row>
    <row r="81" spans="1:5" ht="20.25" x14ac:dyDescent="0.2">
      <c r="A81" s="76"/>
      <c r="B81" s="85"/>
      <c r="C81" s="86"/>
      <c r="D81" s="86"/>
      <c r="E81" s="86"/>
    </row>
    <row r="82" spans="1:5" ht="20.25" x14ac:dyDescent="0.2">
      <c r="A82" s="76"/>
      <c r="B82" s="85"/>
      <c r="C82" s="86"/>
      <c r="D82" s="86"/>
      <c r="E82" s="86"/>
    </row>
    <row r="83" spans="1:5" ht="20.25" x14ac:dyDescent="0.2">
      <c r="A83" s="76"/>
      <c r="B83" s="85"/>
      <c r="C83" s="86"/>
      <c r="D83" s="86"/>
      <c r="E83" s="86"/>
    </row>
    <row r="84" spans="1:5" ht="20.25" x14ac:dyDescent="0.2">
      <c r="A84" s="76"/>
      <c r="B84" s="85"/>
      <c r="C84" s="86"/>
      <c r="D84" s="86"/>
      <c r="E84" s="86"/>
    </row>
    <row r="85" spans="1:5" ht="20.25" x14ac:dyDescent="0.2">
      <c r="A85" s="76"/>
      <c r="B85" s="85"/>
      <c r="C85" s="86"/>
      <c r="D85" s="86"/>
      <c r="E85" s="86"/>
    </row>
    <row r="86" spans="1:5" ht="20.25" x14ac:dyDescent="0.2">
      <c r="A86" s="76"/>
      <c r="B86" s="85"/>
      <c r="C86" s="86"/>
      <c r="D86" s="86"/>
      <c r="E86" s="86"/>
    </row>
    <row r="87" spans="1:5" ht="20.25" x14ac:dyDescent="0.2">
      <c r="A87" s="76"/>
      <c r="B87" s="85"/>
      <c r="C87" s="86"/>
      <c r="D87" s="86"/>
      <c r="E87" s="86"/>
    </row>
    <row r="88" spans="1:5" ht="20.25" x14ac:dyDescent="0.2">
      <c r="A88" s="76"/>
      <c r="B88" s="85"/>
      <c r="C88" s="86"/>
      <c r="D88" s="86"/>
      <c r="E88" s="86"/>
    </row>
    <row r="89" spans="1:5" ht="20.25" x14ac:dyDescent="0.2">
      <c r="A89" s="76"/>
      <c r="B89" s="85"/>
      <c r="C89" s="86"/>
      <c r="D89" s="86"/>
      <c r="E89" s="86"/>
    </row>
    <row r="90" spans="1:5" ht="20.25" x14ac:dyDescent="0.2">
      <c r="A90" s="76"/>
      <c r="B90" s="85"/>
      <c r="C90" s="86"/>
      <c r="D90" s="86"/>
      <c r="E90" s="86"/>
    </row>
    <row r="91" spans="1:5" ht="20.25" x14ac:dyDescent="0.2">
      <c r="A91" s="76"/>
      <c r="B91" s="85"/>
      <c r="C91" s="86"/>
      <c r="D91" s="86"/>
      <c r="E91" s="86"/>
    </row>
    <row r="92" spans="1:5" ht="20.25" x14ac:dyDescent="0.2">
      <c r="A92" s="76"/>
      <c r="B92" s="85"/>
      <c r="C92" s="86"/>
      <c r="D92" s="86"/>
      <c r="E92" s="86"/>
    </row>
    <row r="93" spans="1:5" ht="20.25" x14ac:dyDescent="0.2">
      <c r="A93" s="76"/>
      <c r="B93" s="85"/>
      <c r="C93" s="86"/>
      <c r="D93" s="86"/>
      <c r="E93" s="86"/>
    </row>
    <row r="94" spans="1:5" ht="20.25" x14ac:dyDescent="0.2">
      <c r="A94" s="76"/>
      <c r="B94" s="85"/>
      <c r="C94" s="86"/>
      <c r="D94" s="86"/>
      <c r="E94" s="86"/>
    </row>
    <row r="95" spans="1:5" ht="20.25" x14ac:dyDescent="0.2">
      <c r="A95" s="76"/>
      <c r="B95" s="85"/>
      <c r="C95" s="86"/>
      <c r="D95" s="86"/>
      <c r="E95" s="86"/>
    </row>
    <row r="96" spans="1:5" ht="20.25" x14ac:dyDescent="0.2">
      <c r="A96" s="76"/>
      <c r="B96" s="85"/>
      <c r="C96" s="86"/>
      <c r="D96" s="86"/>
      <c r="E96" s="86"/>
    </row>
    <row r="97" spans="1:5" ht="20.25" x14ac:dyDescent="0.2">
      <c r="A97" s="76"/>
      <c r="B97" s="85"/>
      <c r="C97" s="86"/>
      <c r="D97" s="86"/>
      <c r="E97" s="86"/>
    </row>
    <row r="98" spans="1:5" ht="20.25" x14ac:dyDescent="0.2">
      <c r="A98" s="76"/>
      <c r="B98" s="85"/>
      <c r="C98" s="86"/>
      <c r="D98" s="86"/>
      <c r="E98" s="86"/>
    </row>
    <row r="99" spans="1:5" ht="20.25" x14ac:dyDescent="0.2">
      <c r="A99" s="76"/>
      <c r="B99" s="85"/>
      <c r="C99" s="86"/>
      <c r="D99" s="86"/>
      <c r="E99" s="86"/>
    </row>
    <row r="100" spans="1:5" ht="20.25" x14ac:dyDescent="0.2">
      <c r="A100" s="76"/>
      <c r="B100" s="85"/>
      <c r="C100" s="86"/>
      <c r="D100" s="86"/>
      <c r="E100" s="86"/>
    </row>
    <row r="101" spans="1:5" ht="20.25" x14ac:dyDescent="0.2">
      <c r="A101" s="76"/>
      <c r="B101" s="85"/>
      <c r="C101" s="86"/>
      <c r="D101" s="86"/>
      <c r="E101" s="86"/>
    </row>
    <row r="102" spans="1:5" ht="20.25" x14ac:dyDescent="0.2">
      <c r="A102" s="76"/>
      <c r="B102" s="85"/>
      <c r="C102" s="86"/>
      <c r="D102" s="86"/>
      <c r="E102" s="86"/>
    </row>
    <row r="103" spans="1:5" ht="20.25" x14ac:dyDescent="0.2">
      <c r="A103" s="76"/>
      <c r="B103" s="85"/>
      <c r="C103" s="86"/>
      <c r="D103" s="86"/>
      <c r="E103" s="86"/>
    </row>
    <row r="104" spans="1:5" ht="20.25" x14ac:dyDescent="0.2">
      <c r="A104" s="76"/>
      <c r="B104" s="85"/>
      <c r="C104" s="86"/>
      <c r="D104" s="86"/>
      <c r="E104" s="86"/>
    </row>
    <row r="105" spans="1:5" ht="20.25" x14ac:dyDescent="0.2">
      <c r="A105" s="76"/>
      <c r="B105" s="85"/>
      <c r="C105" s="86"/>
      <c r="D105" s="86"/>
      <c r="E105" s="86"/>
    </row>
    <row r="106" spans="1:5" ht="20.25" x14ac:dyDescent="0.2">
      <c r="A106" s="76"/>
      <c r="B106" s="85"/>
      <c r="C106" s="86"/>
      <c r="D106" s="86"/>
      <c r="E106" s="86"/>
    </row>
    <row r="107" spans="1:5" ht="20.25" x14ac:dyDescent="0.2">
      <c r="A107" s="76"/>
      <c r="B107" s="85"/>
      <c r="C107" s="86"/>
      <c r="D107" s="86"/>
      <c r="E107" s="86"/>
    </row>
    <row r="108" spans="1:5" ht="20.25" x14ac:dyDescent="0.2">
      <c r="A108" s="76"/>
      <c r="B108" s="85"/>
      <c r="C108" s="86"/>
      <c r="D108" s="86"/>
      <c r="E108" s="86"/>
    </row>
    <row r="109" spans="1:5" ht="20.25" x14ac:dyDescent="0.2">
      <c r="A109" s="76"/>
      <c r="B109" s="85"/>
      <c r="C109" s="86"/>
      <c r="D109" s="86"/>
      <c r="E109" s="86"/>
    </row>
    <row r="110" spans="1:5" ht="20.25" x14ac:dyDescent="0.2">
      <c r="A110" s="76"/>
      <c r="B110" s="85"/>
      <c r="C110" s="86"/>
      <c r="D110" s="86"/>
      <c r="E110" s="86"/>
    </row>
    <row r="111" spans="1:5" ht="20.25" x14ac:dyDescent="0.2">
      <c r="A111" s="76"/>
      <c r="B111" s="85"/>
      <c r="C111" s="86"/>
      <c r="D111" s="86"/>
      <c r="E111" s="86"/>
    </row>
    <row r="112" spans="1:5" ht="20.25" x14ac:dyDescent="0.2">
      <c r="A112" s="76"/>
      <c r="B112" s="85"/>
      <c r="C112" s="86"/>
      <c r="D112" s="86"/>
      <c r="E112" s="86"/>
    </row>
    <row r="113" spans="1:5" ht="20.25" x14ac:dyDescent="0.2">
      <c r="A113" s="76"/>
      <c r="B113" s="85"/>
      <c r="C113" s="86"/>
      <c r="D113" s="86"/>
      <c r="E113" s="86"/>
    </row>
    <row r="114" spans="1:5" ht="20.25" x14ac:dyDescent="0.2">
      <c r="A114" s="76"/>
      <c r="B114" s="85"/>
      <c r="C114" s="86"/>
      <c r="D114" s="86"/>
      <c r="E114" s="86"/>
    </row>
    <row r="115" spans="1:5" ht="20.25" x14ac:dyDescent="0.2">
      <c r="A115" s="76"/>
      <c r="B115" s="85"/>
      <c r="C115" s="86"/>
      <c r="D115" s="86"/>
      <c r="E115" s="86"/>
    </row>
    <row r="116" spans="1:5" ht="20.25" x14ac:dyDescent="0.2">
      <c r="A116" s="76"/>
      <c r="B116" s="85"/>
      <c r="C116" s="86"/>
      <c r="D116" s="86"/>
      <c r="E116" s="86"/>
    </row>
    <row r="117" spans="1:5" ht="20.25" x14ac:dyDescent="0.2">
      <c r="A117" s="76"/>
      <c r="B117" s="85"/>
      <c r="C117" s="86"/>
      <c r="D117" s="86"/>
      <c r="E117" s="86"/>
    </row>
    <row r="118" spans="1:5" ht="20.25" x14ac:dyDescent="0.2">
      <c r="A118" s="76"/>
      <c r="B118" s="85"/>
      <c r="C118" s="86"/>
      <c r="D118" s="86"/>
      <c r="E118" s="86"/>
    </row>
    <row r="119" spans="1:5" ht="20.25" x14ac:dyDescent="0.2">
      <c r="A119" s="76"/>
      <c r="B119" s="85"/>
      <c r="C119" s="86"/>
      <c r="D119" s="86"/>
      <c r="E119" s="86"/>
    </row>
    <row r="120" spans="1:5" ht="20.25" x14ac:dyDescent="0.2">
      <c r="A120" s="76"/>
      <c r="B120" s="85"/>
      <c r="C120" s="86"/>
      <c r="D120" s="86"/>
      <c r="E120" s="86"/>
    </row>
    <row r="121" spans="1:5" ht="20.25" x14ac:dyDescent="0.2">
      <c r="A121" s="76"/>
      <c r="B121" s="85"/>
      <c r="C121" s="86"/>
      <c r="D121" s="86"/>
      <c r="E121" s="86"/>
    </row>
    <row r="122" spans="1:5" ht="20.25" x14ac:dyDescent="0.2">
      <c r="A122" s="76"/>
      <c r="B122" s="85"/>
      <c r="C122" s="86"/>
      <c r="D122" s="86"/>
      <c r="E122" s="86"/>
    </row>
    <row r="123" spans="1:5" ht="20.25" x14ac:dyDescent="0.2">
      <c r="A123" s="76"/>
      <c r="B123" s="85"/>
      <c r="C123" s="86"/>
      <c r="D123" s="86"/>
      <c r="E123" s="86"/>
    </row>
    <row r="124" spans="1:5" ht="20.25" x14ac:dyDescent="0.2">
      <c r="A124" s="76"/>
      <c r="B124" s="85"/>
      <c r="C124" s="86"/>
      <c r="D124" s="86"/>
      <c r="E124" s="86"/>
    </row>
    <row r="125" spans="1:5" ht="20.25" x14ac:dyDescent="0.2">
      <c r="A125" s="76"/>
      <c r="B125" s="85"/>
      <c r="C125" s="86"/>
      <c r="D125" s="86"/>
      <c r="E125" s="86"/>
    </row>
    <row r="126" spans="1:5" ht="20.25" x14ac:dyDescent="0.2">
      <c r="A126" s="76"/>
      <c r="B126" s="85"/>
      <c r="C126" s="86"/>
      <c r="D126" s="86"/>
      <c r="E126" s="86"/>
    </row>
    <row r="127" spans="1:5" ht="20.25" x14ac:dyDescent="0.2">
      <c r="A127" s="76"/>
      <c r="B127" s="85"/>
      <c r="C127" s="86"/>
      <c r="D127" s="86"/>
      <c r="E127" s="86"/>
    </row>
    <row r="128" spans="1:5" ht="20.25" x14ac:dyDescent="0.2">
      <c r="A128" s="76"/>
      <c r="B128" s="85"/>
      <c r="C128" s="86"/>
      <c r="D128" s="86"/>
      <c r="E128" s="86"/>
    </row>
    <row r="129" spans="1:5" ht="20.25" x14ac:dyDescent="0.2">
      <c r="A129" s="76"/>
      <c r="B129" s="85"/>
      <c r="C129" s="86"/>
      <c r="D129" s="86"/>
      <c r="E129" s="86"/>
    </row>
    <row r="130" spans="1:5" ht="20.25" x14ac:dyDescent="0.2">
      <c r="A130" s="76"/>
      <c r="B130" s="85"/>
      <c r="C130" s="86"/>
      <c r="D130" s="86"/>
      <c r="E130" s="86"/>
    </row>
    <row r="131" spans="1:5" ht="20.25" x14ac:dyDescent="0.2">
      <c r="A131" s="76"/>
      <c r="B131" s="85"/>
      <c r="C131" s="86"/>
      <c r="D131" s="86"/>
      <c r="E131" s="86"/>
    </row>
    <row r="132" spans="1:5" ht="20.25" x14ac:dyDescent="0.2">
      <c r="A132" s="76"/>
      <c r="B132" s="85"/>
      <c r="C132" s="86"/>
      <c r="D132" s="86"/>
      <c r="E132" s="86"/>
    </row>
    <row r="133" spans="1:5" ht="20.25" x14ac:dyDescent="0.2">
      <c r="A133" s="76"/>
      <c r="B133" s="85"/>
      <c r="C133" s="86"/>
      <c r="D133" s="86"/>
      <c r="E133" s="86"/>
    </row>
    <row r="134" spans="1:5" ht="20.25" x14ac:dyDescent="0.2">
      <c r="A134" s="76"/>
      <c r="B134" s="85"/>
      <c r="C134" s="86"/>
      <c r="D134" s="86"/>
      <c r="E134" s="86"/>
    </row>
    <row r="135" spans="1:5" ht="20.25" x14ac:dyDescent="0.2">
      <c r="A135" s="76"/>
      <c r="B135" s="85"/>
      <c r="C135" s="86"/>
      <c r="D135" s="86"/>
      <c r="E135" s="86"/>
    </row>
    <row r="136" spans="1:5" ht="20.25" x14ac:dyDescent="0.2">
      <c r="A136" s="76"/>
      <c r="B136" s="85"/>
      <c r="C136" s="86"/>
      <c r="D136" s="86"/>
      <c r="E136" s="86"/>
    </row>
    <row r="137" spans="1:5" ht="20.25" x14ac:dyDescent="0.2">
      <c r="A137" s="76"/>
      <c r="B137" s="85"/>
      <c r="C137" s="86"/>
      <c r="D137" s="86"/>
      <c r="E137" s="86"/>
    </row>
    <row r="138" spans="1:5" ht="20.25" x14ac:dyDescent="0.2">
      <c r="A138" s="76"/>
      <c r="B138" s="85"/>
      <c r="C138" s="86"/>
      <c r="D138" s="86"/>
      <c r="E138" s="86"/>
    </row>
    <row r="139" spans="1:5" ht="20.25" x14ac:dyDescent="0.2">
      <c r="A139" s="76"/>
      <c r="B139" s="85"/>
      <c r="C139" s="86"/>
      <c r="D139" s="86"/>
      <c r="E139" s="86"/>
    </row>
    <row r="140" spans="1:5" ht="20.25" x14ac:dyDescent="0.2">
      <c r="A140" s="76"/>
      <c r="B140" s="85"/>
      <c r="C140" s="86"/>
      <c r="D140" s="86"/>
      <c r="E140" s="86"/>
    </row>
    <row r="141" spans="1:5" ht="20.25" x14ac:dyDescent="0.2">
      <c r="A141" s="76"/>
      <c r="B141" s="85"/>
      <c r="C141" s="86"/>
      <c r="D141" s="86"/>
      <c r="E141" s="86"/>
    </row>
    <row r="142" spans="1:5" ht="20.25" x14ac:dyDescent="0.2">
      <c r="A142" s="76"/>
      <c r="B142" s="85"/>
      <c r="C142" s="86"/>
      <c r="D142" s="86"/>
      <c r="E142" s="86"/>
    </row>
    <row r="143" spans="1:5" ht="20.25" x14ac:dyDescent="0.2">
      <c r="A143" s="76"/>
      <c r="B143" s="85"/>
      <c r="C143" s="86"/>
      <c r="D143" s="86"/>
      <c r="E143" s="86"/>
    </row>
    <row r="144" spans="1:5" ht="20.25" x14ac:dyDescent="0.2">
      <c r="A144" s="76"/>
      <c r="B144" s="85"/>
      <c r="C144" s="86"/>
      <c r="D144" s="86"/>
      <c r="E144" s="86"/>
    </row>
    <row r="145" spans="1:5" ht="20.25" x14ac:dyDescent="0.2">
      <c r="A145" s="76"/>
      <c r="B145" s="85"/>
      <c r="C145" s="86"/>
      <c r="D145" s="86"/>
      <c r="E145" s="86"/>
    </row>
    <row r="146" spans="1:5" ht="20.25" x14ac:dyDescent="0.2">
      <c r="A146" s="76"/>
      <c r="B146" s="85"/>
      <c r="C146" s="86"/>
      <c r="D146" s="86"/>
      <c r="E146" s="86"/>
    </row>
    <row r="147" spans="1:5" ht="20.25" x14ac:dyDescent="0.2">
      <c r="A147" s="76"/>
      <c r="B147" s="85"/>
      <c r="C147" s="86"/>
      <c r="D147" s="86"/>
      <c r="E147" s="86"/>
    </row>
    <row r="148" spans="1:5" ht="20.25" x14ac:dyDescent="0.2">
      <c r="A148" s="76"/>
      <c r="B148" s="85"/>
      <c r="C148" s="86"/>
      <c r="D148" s="86"/>
      <c r="E148" s="86"/>
    </row>
    <row r="149" spans="1:5" ht="20.25" x14ac:dyDescent="0.2">
      <c r="A149" s="76"/>
      <c r="B149" s="85"/>
      <c r="C149" s="86"/>
      <c r="D149" s="86"/>
      <c r="E149" s="86"/>
    </row>
    <row r="150" spans="1:5" ht="20.25" x14ac:dyDescent="0.2">
      <c r="A150" s="76"/>
      <c r="B150" s="85"/>
      <c r="C150" s="86"/>
      <c r="D150" s="86"/>
      <c r="E150" s="86"/>
    </row>
    <row r="151" spans="1:5" ht="20.25" x14ac:dyDescent="0.2">
      <c r="A151" s="76"/>
      <c r="B151" s="85"/>
      <c r="C151" s="86"/>
      <c r="D151" s="86"/>
      <c r="E151" s="86"/>
    </row>
    <row r="152" spans="1:5" ht="20.25" x14ac:dyDescent="0.2">
      <c r="A152" s="76"/>
      <c r="B152" s="85"/>
      <c r="C152" s="86"/>
      <c r="D152" s="86"/>
      <c r="E152" s="86"/>
    </row>
    <row r="153" spans="1:5" ht="20.25" x14ac:dyDescent="0.2">
      <c r="A153" s="76"/>
      <c r="B153" s="85"/>
      <c r="C153" s="86"/>
      <c r="D153" s="86"/>
      <c r="E153" s="86"/>
    </row>
    <row r="154" spans="1:5" ht="20.25" x14ac:dyDescent="0.2">
      <c r="A154" s="76"/>
      <c r="B154" s="85"/>
      <c r="C154" s="86"/>
      <c r="D154" s="86"/>
      <c r="E154" s="86"/>
    </row>
    <row r="155" spans="1:5" ht="20.25" x14ac:dyDescent="0.2">
      <c r="A155" s="76"/>
      <c r="B155" s="85"/>
      <c r="C155" s="86"/>
      <c r="D155" s="86"/>
      <c r="E155" s="86"/>
    </row>
    <row r="156" spans="1:5" ht="20.25" x14ac:dyDescent="0.2">
      <c r="A156" s="76"/>
      <c r="B156" s="85"/>
      <c r="C156" s="86"/>
      <c r="D156" s="86"/>
      <c r="E156" s="86"/>
    </row>
    <row r="157" spans="1:5" ht="20.25" x14ac:dyDescent="0.2">
      <c r="A157" s="76"/>
      <c r="B157" s="85"/>
      <c r="C157" s="86"/>
      <c r="D157" s="86"/>
      <c r="E157" s="86"/>
    </row>
    <row r="158" spans="1:5" ht="20.25" x14ac:dyDescent="0.2">
      <c r="A158" s="76"/>
      <c r="B158" s="85"/>
      <c r="C158" s="86"/>
      <c r="D158" s="86"/>
      <c r="E158" s="86"/>
    </row>
    <row r="159" spans="1:5" ht="20.25" x14ac:dyDescent="0.2">
      <c r="A159" s="76"/>
      <c r="B159" s="85"/>
      <c r="C159" s="86"/>
      <c r="D159" s="86"/>
      <c r="E159" s="86"/>
    </row>
    <row r="160" spans="1:5" ht="20.25" x14ac:dyDescent="0.2">
      <c r="A160" s="76"/>
      <c r="B160" s="85"/>
      <c r="C160" s="86"/>
      <c r="D160" s="86"/>
      <c r="E160" s="86"/>
    </row>
    <row r="161" spans="1:5" ht="20.25" x14ac:dyDescent="0.2">
      <c r="A161" s="76"/>
      <c r="B161" s="85"/>
      <c r="C161" s="86"/>
      <c r="D161" s="86"/>
      <c r="E161" s="86"/>
    </row>
    <row r="162" spans="1:5" ht="20.25" x14ac:dyDescent="0.2">
      <c r="A162" s="76"/>
      <c r="B162" s="85"/>
      <c r="C162" s="86"/>
      <c r="D162" s="86"/>
      <c r="E162" s="86"/>
    </row>
    <row r="163" spans="1:5" ht="20.25" x14ac:dyDescent="0.2">
      <c r="A163" s="76"/>
      <c r="B163" s="85"/>
      <c r="C163" s="86"/>
      <c r="D163" s="86"/>
      <c r="E163" s="86"/>
    </row>
    <row r="164" spans="1:5" ht="20.25" x14ac:dyDescent="0.2">
      <c r="A164" s="76"/>
      <c r="B164" s="85"/>
      <c r="C164" s="86"/>
      <c r="D164" s="86"/>
      <c r="E164" s="86"/>
    </row>
    <row r="165" spans="1:5" ht="20.25" x14ac:dyDescent="0.2">
      <c r="A165" s="76"/>
      <c r="B165" s="85"/>
      <c r="C165" s="86"/>
      <c r="D165" s="86"/>
      <c r="E165" s="86"/>
    </row>
    <row r="166" spans="1:5" ht="20.25" x14ac:dyDescent="0.2">
      <c r="A166" s="76"/>
      <c r="B166" s="85"/>
      <c r="C166" s="86"/>
      <c r="D166" s="86"/>
      <c r="E166" s="86"/>
    </row>
    <row r="167" spans="1:5" ht="20.25" x14ac:dyDescent="0.2">
      <c r="A167" s="76"/>
      <c r="B167" s="85"/>
      <c r="C167" s="86"/>
      <c r="D167" s="86"/>
      <c r="E167" s="86"/>
    </row>
    <row r="168" spans="1:5" ht="20.25" x14ac:dyDescent="0.2">
      <c r="A168" s="76"/>
      <c r="B168" s="85"/>
      <c r="C168" s="86"/>
      <c r="D168" s="86"/>
      <c r="E168" s="86"/>
    </row>
    <row r="169" spans="1:5" ht="20.25" x14ac:dyDescent="0.2">
      <c r="A169" s="76"/>
      <c r="B169" s="85"/>
      <c r="C169" s="86"/>
      <c r="D169" s="86"/>
      <c r="E169" s="86"/>
    </row>
    <row r="170" spans="1:5" ht="20.25" x14ac:dyDescent="0.2">
      <c r="A170" s="76"/>
      <c r="B170" s="85"/>
      <c r="C170" s="86"/>
      <c r="D170" s="86"/>
      <c r="E170" s="86"/>
    </row>
    <row r="171" spans="1:5" ht="20.25" x14ac:dyDescent="0.2">
      <c r="A171" s="76"/>
      <c r="B171" s="85"/>
      <c r="C171" s="86"/>
      <c r="D171" s="86"/>
      <c r="E171" s="86"/>
    </row>
    <row r="172" spans="1:5" ht="20.25" x14ac:dyDescent="0.2">
      <c r="A172" s="76"/>
      <c r="B172" s="85"/>
      <c r="C172" s="86"/>
      <c r="D172" s="86"/>
      <c r="E172" s="86"/>
    </row>
    <row r="173" spans="1:5" ht="20.25" x14ac:dyDescent="0.2">
      <c r="A173" s="76"/>
      <c r="B173" s="85"/>
      <c r="C173" s="86"/>
      <c r="D173" s="86"/>
      <c r="E173" s="86"/>
    </row>
    <row r="174" spans="1:5" ht="20.25" x14ac:dyDescent="0.2">
      <c r="A174" s="76"/>
      <c r="B174" s="85"/>
      <c r="C174" s="86"/>
      <c r="D174" s="86"/>
      <c r="E174" s="86"/>
    </row>
    <row r="175" spans="1:5" ht="20.25" x14ac:dyDescent="0.2">
      <c r="A175" s="76"/>
      <c r="B175" s="85"/>
      <c r="C175" s="86"/>
      <c r="D175" s="86"/>
      <c r="E175" s="86"/>
    </row>
    <row r="176" spans="1:5" ht="20.25" x14ac:dyDescent="0.2">
      <c r="A176" s="76"/>
      <c r="B176" s="85"/>
      <c r="C176" s="86"/>
      <c r="D176" s="86"/>
      <c r="E176" s="86"/>
    </row>
    <row r="177" spans="1:5" ht="20.25" x14ac:dyDescent="0.2">
      <c r="A177" s="76"/>
      <c r="B177" s="85"/>
      <c r="C177" s="86"/>
      <c r="D177" s="86"/>
      <c r="E177" s="86"/>
    </row>
    <row r="178" spans="1:5" ht="20.25" x14ac:dyDescent="0.2">
      <c r="A178" s="76"/>
      <c r="B178" s="85"/>
      <c r="C178" s="86"/>
      <c r="D178" s="86"/>
      <c r="E178" s="86"/>
    </row>
    <row r="179" spans="1:5" ht="20.25" x14ac:dyDescent="0.2">
      <c r="A179" s="76"/>
      <c r="B179" s="85"/>
      <c r="C179" s="86"/>
      <c r="D179" s="86"/>
      <c r="E179" s="86"/>
    </row>
    <row r="180" spans="1:5" ht="20.25" x14ac:dyDescent="0.2">
      <c r="A180" s="76"/>
      <c r="B180" s="85"/>
      <c r="C180" s="86"/>
      <c r="D180" s="86"/>
      <c r="E180" s="86"/>
    </row>
    <row r="181" spans="1:5" ht="20.25" x14ac:dyDescent="0.2">
      <c r="A181" s="76"/>
      <c r="B181" s="85"/>
      <c r="C181" s="86"/>
      <c r="D181" s="86"/>
      <c r="E181" s="86"/>
    </row>
    <row r="182" spans="1:5" ht="20.25" x14ac:dyDescent="0.2">
      <c r="A182" s="76"/>
      <c r="B182" s="85"/>
      <c r="C182" s="86"/>
      <c r="D182" s="86"/>
      <c r="E182" s="86"/>
    </row>
    <row r="183" spans="1:5" ht="20.25" x14ac:dyDescent="0.2">
      <c r="A183" s="76"/>
      <c r="B183" s="85"/>
      <c r="C183" s="86"/>
      <c r="D183" s="86"/>
      <c r="E183" s="86"/>
    </row>
    <row r="184" spans="1:5" ht="20.25" x14ac:dyDescent="0.2">
      <c r="A184" s="76"/>
      <c r="B184" s="85"/>
      <c r="C184" s="86"/>
      <c r="D184" s="86"/>
      <c r="E184" s="86"/>
    </row>
    <row r="185" spans="1:5" ht="20.25" x14ac:dyDescent="0.2">
      <c r="A185" s="76"/>
      <c r="B185" s="85"/>
      <c r="C185" s="86"/>
      <c r="D185" s="86"/>
      <c r="E185" s="86"/>
    </row>
    <row r="186" spans="1:5" ht="20.25" x14ac:dyDescent="0.2">
      <c r="A186" s="76"/>
      <c r="B186" s="85"/>
      <c r="C186" s="86"/>
      <c r="D186" s="86"/>
      <c r="E186" s="86"/>
    </row>
    <row r="187" spans="1:5" ht="20.25" x14ac:dyDescent="0.2">
      <c r="A187" s="76"/>
      <c r="B187" s="85"/>
      <c r="C187" s="86"/>
      <c r="D187" s="86"/>
      <c r="E187" s="86"/>
    </row>
    <row r="188" spans="1:5" ht="20.25" x14ac:dyDescent="0.2">
      <c r="A188" s="76"/>
      <c r="B188" s="85"/>
      <c r="C188" s="86"/>
      <c r="D188" s="86"/>
      <c r="E188" s="86"/>
    </row>
    <row r="189" spans="1:5" ht="20.25" x14ac:dyDescent="0.2">
      <c r="A189" s="76"/>
      <c r="B189" s="85"/>
      <c r="C189" s="86"/>
      <c r="D189" s="86"/>
      <c r="E189" s="86"/>
    </row>
    <row r="190" spans="1:5" ht="20.25" x14ac:dyDescent="0.2">
      <c r="A190" s="76"/>
      <c r="B190" s="85"/>
      <c r="C190" s="86"/>
      <c r="D190" s="86"/>
      <c r="E190" s="86"/>
    </row>
    <row r="191" spans="1:5" ht="20.25" x14ac:dyDescent="0.2">
      <c r="A191" s="76"/>
      <c r="B191" s="85"/>
      <c r="C191" s="86"/>
      <c r="D191" s="86"/>
      <c r="E191" s="86"/>
    </row>
    <row r="192" spans="1:5" ht="20.25" x14ac:dyDescent="0.2">
      <c r="A192" s="76"/>
      <c r="B192" s="85"/>
      <c r="C192" s="86"/>
      <c r="D192" s="86"/>
      <c r="E192" s="86"/>
    </row>
    <row r="193" spans="1:5" ht="20.25" x14ac:dyDescent="0.2">
      <c r="A193" s="76"/>
      <c r="B193" s="85"/>
      <c r="C193" s="86"/>
      <c r="D193" s="86"/>
      <c r="E193" s="86"/>
    </row>
    <row r="194" spans="1:5" ht="20.25" x14ac:dyDescent="0.2">
      <c r="A194" s="76"/>
      <c r="B194" s="85"/>
      <c r="C194" s="86"/>
      <c r="D194" s="86"/>
      <c r="E194" s="86"/>
    </row>
    <row r="195" spans="1:5" ht="20.25" x14ac:dyDescent="0.2">
      <c r="A195" s="76"/>
      <c r="B195" s="85"/>
      <c r="C195" s="86"/>
      <c r="D195" s="86"/>
      <c r="E195" s="86"/>
    </row>
    <row r="196" spans="1:5" ht="20.25" x14ac:dyDescent="0.2">
      <c r="A196" s="76"/>
      <c r="B196" s="85"/>
      <c r="C196" s="86"/>
      <c r="D196" s="86"/>
      <c r="E196" s="86"/>
    </row>
    <row r="197" spans="1:5" ht="20.25" x14ac:dyDescent="0.2">
      <c r="A197" s="76"/>
      <c r="B197" s="85"/>
      <c r="C197" s="86"/>
      <c r="D197" s="86"/>
      <c r="E197" s="86"/>
    </row>
    <row r="198" spans="1:5" ht="20.25" x14ac:dyDescent="0.2">
      <c r="A198" s="76"/>
      <c r="B198" s="85"/>
      <c r="C198" s="86"/>
      <c r="D198" s="86"/>
      <c r="E198" s="86"/>
    </row>
    <row r="199" spans="1:5" ht="20.25" x14ac:dyDescent="0.2">
      <c r="A199" s="76"/>
      <c r="B199" s="85"/>
      <c r="C199" s="86"/>
      <c r="D199" s="86"/>
      <c r="E199" s="86"/>
    </row>
    <row r="200" spans="1:5" ht="20.25" x14ac:dyDescent="0.2">
      <c r="A200" s="76"/>
      <c r="B200" s="85"/>
      <c r="C200" s="86"/>
      <c r="D200" s="86"/>
      <c r="E200" s="86"/>
    </row>
    <row r="201" spans="1:5" ht="20.25" x14ac:dyDescent="0.2">
      <c r="A201" s="76"/>
      <c r="B201" s="85"/>
      <c r="C201" s="86"/>
      <c r="D201" s="86"/>
      <c r="E201" s="86"/>
    </row>
    <row r="202" spans="1:5" ht="20.25" x14ac:dyDescent="0.2">
      <c r="A202" s="76"/>
      <c r="B202" s="85"/>
      <c r="C202" s="86"/>
      <c r="D202" s="86"/>
      <c r="E202" s="86"/>
    </row>
    <row r="203" spans="1:5" ht="20.25" x14ac:dyDescent="0.2">
      <c r="A203" s="76"/>
      <c r="B203" s="85"/>
      <c r="C203" s="86"/>
      <c r="D203" s="86"/>
      <c r="E203" s="86"/>
    </row>
    <row r="204" spans="1:5" ht="20.25" x14ac:dyDescent="0.2">
      <c r="A204" s="76"/>
      <c r="B204" s="85"/>
      <c r="C204" s="86"/>
      <c r="D204" s="86"/>
      <c r="E204" s="86"/>
    </row>
    <row r="205" spans="1:5" ht="20.25" x14ac:dyDescent="0.2">
      <c r="A205" s="76"/>
      <c r="B205" s="85"/>
      <c r="C205" s="86"/>
      <c r="D205" s="86"/>
      <c r="E205" s="86"/>
    </row>
    <row r="206" spans="1:5" ht="20.25" x14ac:dyDescent="0.2">
      <c r="A206" s="76"/>
      <c r="B206" s="85"/>
      <c r="C206" s="86"/>
      <c r="D206" s="86"/>
      <c r="E206" s="86"/>
    </row>
    <row r="207" spans="1:5" ht="20.25" x14ac:dyDescent="0.2">
      <c r="A207" s="76"/>
      <c r="B207" s="85"/>
      <c r="C207" s="86"/>
      <c r="D207" s="86"/>
      <c r="E207" s="86"/>
    </row>
    <row r="208" spans="1:5" ht="20.25" x14ac:dyDescent="0.2">
      <c r="A208" s="76"/>
      <c r="B208" s="85"/>
      <c r="C208" s="86"/>
      <c r="D208" s="86"/>
      <c r="E208" s="86"/>
    </row>
    <row r="209" spans="1:9" ht="20.25" x14ac:dyDescent="0.2">
      <c r="A209" s="76"/>
      <c r="B209" s="85"/>
      <c r="C209" s="86"/>
      <c r="D209" s="86"/>
      <c r="E209" s="86"/>
    </row>
    <row r="210" spans="1:9" ht="20.25" x14ac:dyDescent="0.2">
      <c r="A210" s="76"/>
      <c r="B210" s="85"/>
      <c r="C210" s="86"/>
      <c r="D210" s="86"/>
      <c r="E210" s="86"/>
    </row>
    <row r="211" spans="1:9" ht="20.25" x14ac:dyDescent="0.2">
      <c r="A211" s="76"/>
      <c r="B211" s="85"/>
      <c r="C211" s="86"/>
      <c r="D211" s="86"/>
      <c r="E211" s="86"/>
    </row>
    <row r="212" spans="1:9" x14ac:dyDescent="0.2">
      <c r="A212" s="74"/>
      <c r="B212" s="85"/>
      <c r="C212" s="85"/>
      <c r="D212" s="85"/>
      <c r="E212" s="85"/>
    </row>
    <row r="213" spans="1:9" ht="20.25" x14ac:dyDescent="0.2">
      <c r="A213" s="74"/>
      <c r="B213" s="87" t="s">
        <v>165</v>
      </c>
      <c r="C213" s="87" t="s">
        <v>166</v>
      </c>
      <c r="D213" s="87"/>
      <c r="E213" s="88" t="s">
        <v>165</v>
      </c>
      <c r="F213" s="88" t="s">
        <v>166</v>
      </c>
    </row>
    <row r="214" spans="1:9" ht="20.25" x14ac:dyDescent="0.3">
      <c r="A214" s="74"/>
      <c r="B214" s="89" t="s">
        <v>167</v>
      </c>
      <c r="C214" s="89" t="s">
        <v>168</v>
      </c>
      <c r="D214" s="89"/>
      <c r="E214" s="73" t="s">
        <v>167</v>
      </c>
      <c r="G214" s="73" t="str">
        <f>IF(NOT(ISBLANK(E214)),E214,IF(NOT(ISBLANK(F214)),"     "&amp;F214,FALSE))</f>
        <v>Afectación Económica o presupuestal</v>
      </c>
      <c r="H214" s="73" t="s">
        <v>167</v>
      </c>
      <c r="I214" s="73" t="str">
        <f>IF(NOT(ISERROR(MATCH(H214,_xlfn.ANCHORARRAY(B225),0))),G227&amp;"Por favor no seleccionar los criterios de impacto",H214)</f>
        <v>❌Por favor no seleccionar los criterios de impacto</v>
      </c>
    </row>
    <row r="215" spans="1:9" ht="20.25" x14ac:dyDescent="0.3">
      <c r="A215" s="74"/>
      <c r="B215" s="89" t="s">
        <v>167</v>
      </c>
      <c r="C215" s="89" t="s">
        <v>145</v>
      </c>
      <c r="D215" s="89"/>
      <c r="F215" s="73" t="s">
        <v>168</v>
      </c>
      <c r="G215" s="73" t="str">
        <f t="shared" ref="G215:G225" si="0">IF(NOT(ISBLANK(E215)),E215,IF(NOT(ISBLANK(F215)),"     "&amp;F215,FALSE))</f>
        <v xml:space="preserve">     Afectación menor a 10 SMLMV .</v>
      </c>
    </row>
    <row r="216" spans="1:9" ht="20.25" x14ac:dyDescent="0.3">
      <c r="A216" s="74"/>
      <c r="B216" s="89" t="s">
        <v>167</v>
      </c>
      <c r="C216" s="89" t="s">
        <v>147</v>
      </c>
      <c r="D216" s="89"/>
      <c r="F216" s="73" t="s">
        <v>145</v>
      </c>
      <c r="G216" s="73" t="str">
        <f t="shared" si="0"/>
        <v xml:space="preserve">     Entre 10 y 50 SMLMV </v>
      </c>
    </row>
    <row r="217" spans="1:9" ht="20.25" x14ac:dyDescent="0.3">
      <c r="A217" s="74"/>
      <c r="B217" s="89" t="s">
        <v>167</v>
      </c>
      <c r="C217" s="89" t="s">
        <v>150</v>
      </c>
      <c r="D217" s="89"/>
      <c r="F217" s="73" t="s">
        <v>147</v>
      </c>
      <c r="G217" s="73" t="str">
        <f t="shared" si="0"/>
        <v xml:space="preserve">     Entre 50 y 100 SMLMV </v>
      </c>
    </row>
    <row r="218" spans="1:9" ht="20.25" x14ac:dyDescent="0.3">
      <c r="A218" s="74"/>
      <c r="B218" s="89" t="s">
        <v>167</v>
      </c>
      <c r="C218" s="89" t="s">
        <v>153</v>
      </c>
      <c r="D218" s="89"/>
      <c r="F218" s="73" t="s">
        <v>150</v>
      </c>
      <c r="G218" s="73" t="str">
        <f t="shared" si="0"/>
        <v xml:space="preserve">     Entre 100 y 500 SMLMV </v>
      </c>
    </row>
    <row r="219" spans="1:9" ht="20.25" x14ac:dyDescent="0.3">
      <c r="A219" s="74"/>
      <c r="B219" s="89" t="s">
        <v>169</v>
      </c>
      <c r="C219" s="89" t="s">
        <v>170</v>
      </c>
      <c r="D219" s="89"/>
      <c r="F219" s="73" t="s">
        <v>153</v>
      </c>
      <c r="G219" s="73" t="str">
        <f t="shared" si="0"/>
        <v xml:space="preserve">     Mayor a 500 SMLMV </v>
      </c>
    </row>
    <row r="220" spans="1:9" ht="20.25" x14ac:dyDescent="0.3">
      <c r="A220" s="74"/>
      <c r="B220" s="89" t="s">
        <v>169</v>
      </c>
      <c r="C220" s="89" t="s">
        <v>171</v>
      </c>
      <c r="D220" s="89"/>
      <c r="E220" s="73" t="s">
        <v>169</v>
      </c>
      <c r="G220" s="73" t="str">
        <f t="shared" si="0"/>
        <v>Pérdida Reputacional</v>
      </c>
    </row>
    <row r="221" spans="1:9" ht="20.25" x14ac:dyDescent="0.3">
      <c r="A221" s="74"/>
      <c r="B221" s="89" t="s">
        <v>169</v>
      </c>
      <c r="C221" s="89" t="s">
        <v>172</v>
      </c>
      <c r="D221" s="89"/>
      <c r="F221" s="73" t="s">
        <v>170</v>
      </c>
      <c r="G221" s="73" t="str">
        <f t="shared" si="0"/>
        <v xml:space="preserve">     El riesgo afecta la imagen de alguna área de la organización</v>
      </c>
    </row>
    <row r="222" spans="1:9" ht="20.25" x14ac:dyDescent="0.3">
      <c r="A222" s="74"/>
      <c r="B222" s="89" t="s">
        <v>169</v>
      </c>
      <c r="C222" s="89" t="s">
        <v>173</v>
      </c>
      <c r="D222" s="89"/>
      <c r="F222" s="73" t="s">
        <v>171</v>
      </c>
      <c r="G222" s="73" t="str">
        <f t="shared" si="0"/>
        <v xml:space="preserve">     El riesgo afecta la imagen de la entidad internamente, de conocimiento general, nivel interno, de junta dircetiva y accionistas y/o de provedores</v>
      </c>
    </row>
    <row r="223" spans="1:9" ht="20.25" x14ac:dyDescent="0.3">
      <c r="A223" s="74"/>
      <c r="B223" s="89" t="s">
        <v>169</v>
      </c>
      <c r="C223" s="89" t="s">
        <v>174</v>
      </c>
      <c r="D223" s="89"/>
      <c r="F223" s="73" t="s">
        <v>172</v>
      </c>
      <c r="G223" s="73" t="str">
        <f t="shared" si="0"/>
        <v xml:space="preserve">     El riesgo afecta la imagen de la entidad con algunos usuarios de relevancia frente al logro de los objetivos</v>
      </c>
    </row>
    <row r="224" spans="1:9" x14ac:dyDescent="0.2">
      <c r="A224" s="74"/>
      <c r="B224" s="90"/>
      <c r="C224" s="90"/>
      <c r="D224" s="90"/>
      <c r="F224" s="73" t="s">
        <v>173</v>
      </c>
      <c r="G224" s="73" t="str">
        <f t="shared" si="0"/>
        <v xml:space="preserve">     El riesgo afecta la imagen de de la entidad con efecto publicitario sostenido a nivel de sector administrativo, nivel departamental o municipal</v>
      </c>
    </row>
    <row r="225" spans="1:7" x14ac:dyDescent="0.2">
      <c r="A225" s="74"/>
      <c r="B225" s="90" t="str" cm="1">
        <f t="array" ref="B225:B227">_xlfn.UNIQUE(Tabla1[[#All],[Criterios]])</f>
        <v>Criterios</v>
      </c>
      <c r="C225" s="90"/>
      <c r="D225" s="90"/>
      <c r="F225" s="73" t="s">
        <v>174</v>
      </c>
      <c r="G225" s="73" t="str">
        <f t="shared" si="0"/>
        <v xml:space="preserve">     El riesgo afecta la imagen de la entidad a nivel nacional, con efecto publicitarios sostenible a nivel país</v>
      </c>
    </row>
    <row r="226" spans="1:7" x14ac:dyDescent="0.2">
      <c r="A226" s="74"/>
      <c r="B226" s="90" t="str">
        <v>Afectación Económica o presupuestal</v>
      </c>
      <c r="C226" s="90"/>
      <c r="D226" s="90"/>
    </row>
    <row r="227" spans="1:7" x14ac:dyDescent="0.2">
      <c r="B227" s="90" t="str">
        <v>Pérdida Reputacional</v>
      </c>
      <c r="C227" s="90"/>
      <c r="D227" s="90"/>
      <c r="G227" s="3" t="s">
        <v>175</v>
      </c>
    </row>
    <row r="228" spans="1:7" x14ac:dyDescent="0.2">
      <c r="B228" s="91"/>
      <c r="C228" s="91"/>
      <c r="D228" s="91"/>
      <c r="G228" s="3" t="s">
        <v>176</v>
      </c>
    </row>
    <row r="229" spans="1:7" x14ac:dyDescent="0.2">
      <c r="B229" s="91"/>
      <c r="C229" s="91"/>
      <c r="D229" s="91"/>
    </row>
    <row r="230" spans="1:7" x14ac:dyDescent="0.2">
      <c r="B230" s="91"/>
      <c r="C230" s="91"/>
      <c r="D230" s="91"/>
    </row>
    <row r="231" spans="1:7" x14ac:dyDescent="0.2">
      <c r="B231" s="91"/>
      <c r="C231" s="91"/>
      <c r="D231" s="91"/>
      <c r="E231" s="91"/>
    </row>
    <row r="232" spans="1:7" x14ac:dyDescent="0.2">
      <c r="B232" s="91"/>
      <c r="C232" s="91"/>
      <c r="D232" s="91"/>
      <c r="E232" s="91"/>
    </row>
    <row r="233" spans="1:7" x14ac:dyDescent="0.2">
      <c r="B233" s="91"/>
      <c r="C233" s="91"/>
      <c r="D233" s="91"/>
      <c r="E233" s="91"/>
    </row>
    <row r="234" spans="1:7" x14ac:dyDescent="0.2">
      <c r="B234" s="91"/>
      <c r="C234" s="91"/>
      <c r="D234" s="91"/>
      <c r="E234" s="91"/>
    </row>
    <row r="235" spans="1:7" x14ac:dyDescent="0.2">
      <c r="B235" s="91"/>
      <c r="C235" s="91"/>
      <c r="D235" s="91"/>
      <c r="E235" s="91"/>
    </row>
    <row r="236" spans="1:7" x14ac:dyDescent="0.2">
      <c r="B236" s="91"/>
      <c r="C236" s="91"/>
      <c r="D236" s="91"/>
      <c r="E236" s="91"/>
    </row>
  </sheetData>
  <mergeCells count="4">
    <mergeCell ref="C7:E7"/>
    <mergeCell ref="B5:E5"/>
    <mergeCell ref="B1:B4"/>
    <mergeCell ref="C1:D4"/>
  </mergeCells>
  <dataValidations disablePrompts="1" count="1">
    <dataValidation type="list" allowBlank="1" showInputMessage="1" showErrorMessage="1" sqref="H214" xr:uid="{00000000-0002-0000-0500-000000000000}">
      <formula1>$G$214:$G$225</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20"/>
  <sheetViews>
    <sheetView zoomScale="85" zoomScaleNormal="85" workbookViewId="0">
      <selection activeCell="H7" sqref="H7"/>
    </sheetView>
  </sheetViews>
  <sheetFormatPr baseColWidth="10" defaultColWidth="14.28515625" defaultRowHeight="12.75" x14ac:dyDescent="0.2"/>
  <cols>
    <col min="1" max="2" width="14.28515625" style="43"/>
    <col min="3" max="3" width="17" style="43" customWidth="1"/>
    <col min="4" max="4" width="14.28515625" style="43"/>
    <col min="5" max="5" width="46" style="43" customWidth="1"/>
    <col min="6" max="6" width="39" style="43" customWidth="1"/>
    <col min="7" max="16384" width="14.28515625" style="43"/>
  </cols>
  <sheetData>
    <row r="1" spans="2:6" ht="15" x14ac:dyDescent="0.2">
      <c r="B1" s="579"/>
      <c r="C1" s="263" t="s">
        <v>0</v>
      </c>
      <c r="D1" s="263"/>
      <c r="E1" s="263"/>
      <c r="F1" s="63"/>
    </row>
    <row r="2" spans="2:6" ht="15" x14ac:dyDescent="0.2">
      <c r="B2" s="579"/>
      <c r="C2" s="263"/>
      <c r="D2" s="263"/>
      <c r="E2" s="263"/>
      <c r="F2" s="63"/>
    </row>
    <row r="3" spans="2:6" ht="15" x14ac:dyDescent="0.2">
      <c r="B3" s="579"/>
      <c r="C3" s="263"/>
      <c r="D3" s="263"/>
      <c r="E3" s="263"/>
      <c r="F3" s="63"/>
    </row>
    <row r="4" spans="2:6" ht="15" x14ac:dyDescent="0.2">
      <c r="B4" s="579"/>
      <c r="C4" s="263"/>
      <c r="D4" s="263"/>
      <c r="E4" s="263"/>
      <c r="F4" s="63"/>
    </row>
    <row r="5" spans="2:6" ht="24" customHeight="1" thickBot="1" x14ac:dyDescent="0.25">
      <c r="B5" s="580" t="s">
        <v>177</v>
      </c>
      <c r="C5" s="581"/>
      <c r="D5" s="581"/>
      <c r="E5" s="581"/>
      <c r="F5" s="582"/>
    </row>
    <row r="6" spans="2:6" ht="16.5" thickBot="1" x14ac:dyDescent="0.3">
      <c r="B6" s="44"/>
      <c r="C6" s="44"/>
      <c r="D6" s="44"/>
      <c r="E6" s="44"/>
      <c r="F6" s="44"/>
    </row>
    <row r="7" spans="2:6" ht="16.5" thickBot="1" x14ac:dyDescent="0.25">
      <c r="B7" s="584" t="s">
        <v>178</v>
      </c>
      <c r="C7" s="585"/>
      <c r="D7" s="585"/>
      <c r="E7" s="56" t="s">
        <v>179</v>
      </c>
      <c r="F7" s="57" t="s">
        <v>180</v>
      </c>
    </row>
    <row r="8" spans="2:6" ht="31.5" x14ac:dyDescent="0.2">
      <c r="B8" s="586" t="s">
        <v>181</v>
      </c>
      <c r="C8" s="589" t="s">
        <v>87</v>
      </c>
      <c r="D8" s="45" t="s">
        <v>100</v>
      </c>
      <c r="E8" s="46" t="s">
        <v>182</v>
      </c>
      <c r="F8" s="47">
        <v>0.25</v>
      </c>
    </row>
    <row r="9" spans="2:6" ht="47.25" x14ac:dyDescent="0.2">
      <c r="B9" s="587"/>
      <c r="C9" s="590"/>
      <c r="D9" s="48" t="s">
        <v>183</v>
      </c>
      <c r="E9" s="49" t="s">
        <v>184</v>
      </c>
      <c r="F9" s="50">
        <v>0.15</v>
      </c>
    </row>
    <row r="10" spans="2:6" ht="47.25" x14ac:dyDescent="0.2">
      <c r="B10" s="587"/>
      <c r="C10" s="591"/>
      <c r="D10" s="48" t="s">
        <v>185</v>
      </c>
      <c r="E10" s="49" t="s">
        <v>186</v>
      </c>
      <c r="F10" s="50">
        <v>0.1</v>
      </c>
    </row>
    <row r="11" spans="2:6" ht="63" x14ac:dyDescent="0.2">
      <c r="B11" s="587"/>
      <c r="C11" s="592" t="s">
        <v>88</v>
      </c>
      <c r="D11" s="48" t="s">
        <v>187</v>
      </c>
      <c r="E11" s="49" t="s">
        <v>188</v>
      </c>
      <c r="F11" s="50">
        <v>0.25</v>
      </c>
    </row>
    <row r="12" spans="2:6" ht="31.5" x14ac:dyDescent="0.2">
      <c r="B12" s="588"/>
      <c r="C12" s="592"/>
      <c r="D12" s="48" t="s">
        <v>101</v>
      </c>
      <c r="E12" s="49" t="s">
        <v>189</v>
      </c>
      <c r="F12" s="50">
        <v>0.15</v>
      </c>
    </row>
    <row r="13" spans="2:6" ht="47.25" x14ac:dyDescent="0.2">
      <c r="B13" s="593" t="s">
        <v>190</v>
      </c>
      <c r="C13" s="592" t="s">
        <v>90</v>
      </c>
      <c r="D13" s="48" t="s">
        <v>102</v>
      </c>
      <c r="E13" s="49" t="s">
        <v>191</v>
      </c>
      <c r="F13" s="51" t="s">
        <v>192</v>
      </c>
    </row>
    <row r="14" spans="2:6" ht="63" x14ac:dyDescent="0.2">
      <c r="B14" s="593"/>
      <c r="C14" s="592"/>
      <c r="D14" s="48" t="s">
        <v>193</v>
      </c>
      <c r="E14" s="49" t="s">
        <v>194</v>
      </c>
      <c r="F14" s="51" t="s">
        <v>192</v>
      </c>
    </row>
    <row r="15" spans="2:6" ht="47.25" x14ac:dyDescent="0.2">
      <c r="B15" s="593"/>
      <c r="C15" s="592" t="s">
        <v>91</v>
      </c>
      <c r="D15" s="48" t="s">
        <v>103</v>
      </c>
      <c r="E15" s="49" t="s">
        <v>195</v>
      </c>
      <c r="F15" s="51" t="s">
        <v>192</v>
      </c>
    </row>
    <row r="16" spans="2:6" ht="47.25" x14ac:dyDescent="0.2">
      <c r="B16" s="593"/>
      <c r="C16" s="592"/>
      <c r="D16" s="48" t="s">
        <v>196</v>
      </c>
      <c r="E16" s="49" t="s">
        <v>197</v>
      </c>
      <c r="F16" s="51" t="s">
        <v>192</v>
      </c>
    </row>
    <row r="17" spans="2:6" ht="31.5" x14ac:dyDescent="0.2">
      <c r="B17" s="593"/>
      <c r="C17" s="592" t="s">
        <v>92</v>
      </c>
      <c r="D17" s="48" t="s">
        <v>104</v>
      </c>
      <c r="E17" s="49" t="s">
        <v>198</v>
      </c>
      <c r="F17" s="51" t="s">
        <v>192</v>
      </c>
    </row>
    <row r="18" spans="2:6" ht="32.25" thickBot="1" x14ac:dyDescent="0.25">
      <c r="B18" s="594"/>
      <c r="C18" s="595"/>
      <c r="D18" s="52" t="s">
        <v>199</v>
      </c>
      <c r="E18" s="53" t="s">
        <v>200</v>
      </c>
      <c r="F18" s="54" t="s">
        <v>192</v>
      </c>
    </row>
    <row r="19" spans="2:6" ht="49.5" customHeight="1" x14ac:dyDescent="0.2">
      <c r="B19" s="583" t="s">
        <v>201</v>
      </c>
      <c r="C19" s="583"/>
      <c r="D19" s="583"/>
      <c r="E19" s="583"/>
      <c r="F19" s="583"/>
    </row>
    <row r="20" spans="2:6" ht="27" customHeight="1" x14ac:dyDescent="0.25">
      <c r="B20" s="55"/>
    </row>
  </sheetData>
  <mergeCells count="12">
    <mergeCell ref="B1:B4"/>
    <mergeCell ref="C1:E4"/>
    <mergeCell ref="B5:F5"/>
    <mergeCell ref="B19:F19"/>
    <mergeCell ref="B7:D7"/>
    <mergeCell ref="B8:B12"/>
    <mergeCell ref="C8:C10"/>
    <mergeCell ref="C11:C12"/>
    <mergeCell ref="B13:B18"/>
    <mergeCell ref="C13:C14"/>
    <mergeCell ref="C15:C16"/>
    <mergeCell ref="C17:C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709B-2BAB-4367-9A50-99901959F2D0}">
  <sheetPr>
    <tabColor theme="9" tint="-0.249977111117893"/>
  </sheetPr>
  <dimension ref="A1:C80"/>
  <sheetViews>
    <sheetView topLeftCell="A28" zoomScaleNormal="100" workbookViewId="0">
      <selection activeCell="A6" sqref="A6:C6"/>
    </sheetView>
  </sheetViews>
  <sheetFormatPr baseColWidth="10" defaultColWidth="11.42578125" defaultRowHeight="15" x14ac:dyDescent="0.25"/>
  <cols>
    <col min="1" max="1" width="13.28515625" customWidth="1"/>
    <col min="2" max="2" width="69.7109375" customWidth="1"/>
    <col min="3" max="3" width="54.85546875" customWidth="1"/>
  </cols>
  <sheetData>
    <row r="1" spans="1:3" x14ac:dyDescent="0.25">
      <c r="A1" s="596"/>
      <c r="B1" s="597" t="s">
        <v>0</v>
      </c>
      <c r="C1" s="63"/>
    </row>
    <row r="2" spans="1:3" x14ac:dyDescent="0.25">
      <c r="A2" s="596"/>
      <c r="B2" s="597"/>
      <c r="C2" s="63"/>
    </row>
    <row r="3" spans="1:3" x14ac:dyDescent="0.25">
      <c r="A3" s="596"/>
      <c r="B3" s="597"/>
      <c r="C3" s="63"/>
    </row>
    <row r="4" spans="1:3" x14ac:dyDescent="0.25">
      <c r="A4" s="596"/>
      <c r="B4" s="597"/>
      <c r="C4" s="63" t="s">
        <v>202</v>
      </c>
    </row>
    <row r="5" spans="1:3" ht="40.5" customHeight="1" x14ac:dyDescent="0.25">
      <c r="A5" s="596"/>
      <c r="B5" s="596"/>
      <c r="C5" s="596"/>
    </row>
    <row r="6" spans="1:3" ht="56.25" customHeight="1" x14ac:dyDescent="0.25">
      <c r="A6" s="604" t="s">
        <v>203</v>
      </c>
      <c r="B6" s="604"/>
      <c r="C6" s="604"/>
    </row>
    <row r="7" spans="1:3" ht="51" customHeight="1" x14ac:dyDescent="0.25">
      <c r="A7" s="605" t="s">
        <v>204</v>
      </c>
      <c r="B7" s="605"/>
      <c r="C7" s="605"/>
    </row>
    <row r="8" spans="1:3" ht="53.25" customHeight="1" x14ac:dyDescent="0.25">
      <c r="A8" s="604" t="s">
        <v>205</v>
      </c>
      <c r="B8" s="604"/>
      <c r="C8" s="604"/>
    </row>
    <row r="9" spans="1:3" ht="310.5" customHeight="1" x14ac:dyDescent="0.25">
      <c r="A9" s="606" t="s">
        <v>206</v>
      </c>
      <c r="B9" s="606"/>
      <c r="C9" s="606"/>
    </row>
    <row r="10" spans="1:3" ht="21" customHeight="1" x14ac:dyDescent="0.25">
      <c r="A10" s="607" t="s">
        <v>207</v>
      </c>
      <c r="B10" s="62" t="s">
        <v>208</v>
      </c>
      <c r="C10" s="62" t="s">
        <v>19</v>
      </c>
    </row>
    <row r="11" spans="1:3" ht="21" customHeight="1" thickBot="1" x14ac:dyDescent="0.3">
      <c r="A11" s="608"/>
      <c r="B11" s="58" t="s">
        <v>209</v>
      </c>
      <c r="C11" s="59" t="s">
        <v>210</v>
      </c>
    </row>
    <row r="12" spans="1:3" ht="30" customHeight="1" thickBot="1" x14ac:dyDescent="0.3">
      <c r="A12" s="60">
        <v>1</v>
      </c>
      <c r="B12" s="61" t="s">
        <v>211</v>
      </c>
      <c r="C12" s="61" t="s">
        <v>212</v>
      </c>
    </row>
    <row r="13" spans="1:3" ht="30" customHeight="1" thickBot="1" x14ac:dyDescent="0.3">
      <c r="A13" s="60">
        <v>2</v>
      </c>
      <c r="B13" s="61" t="s">
        <v>213</v>
      </c>
      <c r="C13" s="61" t="s">
        <v>214</v>
      </c>
    </row>
    <row r="14" spans="1:3" ht="30" customHeight="1" thickBot="1" x14ac:dyDescent="0.3">
      <c r="A14" s="60">
        <v>3</v>
      </c>
      <c r="B14" s="61" t="s">
        <v>215</v>
      </c>
      <c r="C14" s="61" t="s">
        <v>216</v>
      </c>
    </row>
    <row r="15" spans="1:3" ht="30" customHeight="1" thickBot="1" x14ac:dyDescent="0.3">
      <c r="A15" s="60">
        <v>4</v>
      </c>
      <c r="B15" s="61" t="s">
        <v>217</v>
      </c>
      <c r="C15" s="61" t="s">
        <v>218</v>
      </c>
    </row>
    <row r="16" spans="1:3" ht="30" customHeight="1" thickBot="1" x14ac:dyDescent="0.3">
      <c r="A16" s="60">
        <v>5</v>
      </c>
      <c r="B16" s="61" t="s">
        <v>219</v>
      </c>
      <c r="C16" s="61" t="s">
        <v>220</v>
      </c>
    </row>
    <row r="17" spans="1:3" ht="30" customHeight="1" thickBot="1" x14ac:dyDescent="0.3">
      <c r="A17" s="60">
        <v>6</v>
      </c>
      <c r="B17" s="61" t="s">
        <v>221</v>
      </c>
      <c r="C17" s="61" t="s">
        <v>222</v>
      </c>
    </row>
    <row r="18" spans="1:3" ht="30" customHeight="1" thickBot="1" x14ac:dyDescent="0.3">
      <c r="A18" s="60">
        <v>7</v>
      </c>
      <c r="B18" s="61" t="s">
        <v>223</v>
      </c>
      <c r="C18" s="61" t="s">
        <v>224</v>
      </c>
    </row>
    <row r="19" spans="1:3" ht="30" customHeight="1" thickBot="1" x14ac:dyDescent="0.3">
      <c r="A19" s="60">
        <v>8</v>
      </c>
      <c r="B19" s="61" t="s">
        <v>221</v>
      </c>
      <c r="C19" s="61" t="s">
        <v>225</v>
      </c>
    </row>
    <row r="20" spans="1:3" ht="53.25" customHeight="1" thickBot="1" x14ac:dyDescent="0.3">
      <c r="A20" s="60">
        <v>9</v>
      </c>
      <c r="B20" s="61" t="s">
        <v>226</v>
      </c>
      <c r="C20" s="61" t="s">
        <v>227</v>
      </c>
    </row>
    <row r="21" spans="1:3" ht="30" customHeight="1" thickBot="1" x14ac:dyDescent="0.3">
      <c r="A21" s="60">
        <v>10</v>
      </c>
      <c r="B21" s="61" t="s">
        <v>228</v>
      </c>
      <c r="C21" s="61" t="s">
        <v>229</v>
      </c>
    </row>
    <row r="22" spans="1:3" ht="30" customHeight="1" thickBot="1" x14ac:dyDescent="0.3">
      <c r="A22" s="60">
        <v>11</v>
      </c>
      <c r="B22" s="61" t="s">
        <v>230</v>
      </c>
      <c r="C22" s="61" t="s">
        <v>231</v>
      </c>
    </row>
    <row r="23" spans="1:3" ht="30" customHeight="1" thickBot="1" x14ac:dyDescent="0.3">
      <c r="A23" s="60">
        <v>12</v>
      </c>
      <c r="B23" s="61" t="s">
        <v>232</v>
      </c>
      <c r="C23" s="61" t="s">
        <v>233</v>
      </c>
    </row>
    <row r="24" spans="1:3" ht="30" customHeight="1" thickBot="1" x14ac:dyDescent="0.3">
      <c r="A24" s="60">
        <v>13</v>
      </c>
      <c r="B24" s="61" t="s">
        <v>234</v>
      </c>
      <c r="C24" s="61" t="s">
        <v>235</v>
      </c>
    </row>
    <row r="25" spans="1:3" ht="30" customHeight="1" thickBot="1" x14ac:dyDescent="0.3">
      <c r="A25" s="60">
        <v>14</v>
      </c>
      <c r="B25" s="61" t="s">
        <v>236</v>
      </c>
      <c r="C25" s="61" t="s">
        <v>237</v>
      </c>
    </row>
    <row r="26" spans="1:3" ht="30" customHeight="1" thickBot="1" x14ac:dyDescent="0.3">
      <c r="A26" s="60">
        <v>15</v>
      </c>
      <c r="B26" s="61" t="s">
        <v>238</v>
      </c>
      <c r="C26" s="61" t="s">
        <v>239</v>
      </c>
    </row>
    <row r="27" spans="1:3" ht="30" customHeight="1" thickBot="1" x14ac:dyDescent="0.3">
      <c r="A27" s="60">
        <v>16</v>
      </c>
      <c r="B27" s="61" t="s">
        <v>240</v>
      </c>
      <c r="C27" s="61" t="s">
        <v>241</v>
      </c>
    </row>
    <row r="28" spans="1:3" ht="30" customHeight="1" thickBot="1" x14ac:dyDescent="0.3">
      <c r="A28" s="60">
        <v>17</v>
      </c>
      <c r="B28" s="61" t="s">
        <v>242</v>
      </c>
      <c r="C28" s="61" t="s">
        <v>243</v>
      </c>
    </row>
    <row r="29" spans="1:3" ht="30" customHeight="1" thickBot="1" x14ac:dyDescent="0.3">
      <c r="A29" s="60">
        <v>18</v>
      </c>
      <c r="B29" s="61" t="s">
        <v>242</v>
      </c>
      <c r="C29" s="61" t="s">
        <v>244</v>
      </c>
    </row>
    <row r="30" spans="1:3" ht="30" customHeight="1" thickBot="1" x14ac:dyDescent="0.3">
      <c r="A30" s="60">
        <v>19</v>
      </c>
      <c r="B30" s="61" t="s">
        <v>242</v>
      </c>
      <c r="C30" s="61" t="s">
        <v>245</v>
      </c>
    </row>
    <row r="31" spans="1:3" ht="30" customHeight="1" thickBot="1" x14ac:dyDescent="0.3">
      <c r="A31" s="60">
        <v>20</v>
      </c>
      <c r="B31" s="61" t="s">
        <v>242</v>
      </c>
      <c r="C31" s="61" t="s">
        <v>246</v>
      </c>
    </row>
    <row r="32" spans="1:3" ht="30" customHeight="1" thickBot="1" x14ac:dyDescent="0.3">
      <c r="A32" s="60">
        <v>21</v>
      </c>
      <c r="B32" s="61" t="s">
        <v>247</v>
      </c>
      <c r="C32" s="61" t="s">
        <v>248</v>
      </c>
    </row>
    <row r="33" spans="1:3" ht="30" customHeight="1" thickBot="1" x14ac:dyDescent="0.3">
      <c r="A33" s="60">
        <v>22</v>
      </c>
      <c r="B33" s="61" t="s">
        <v>249</v>
      </c>
      <c r="C33" s="61" t="s">
        <v>250</v>
      </c>
    </row>
    <row r="34" spans="1:3" ht="30" customHeight="1" thickBot="1" x14ac:dyDescent="0.3">
      <c r="A34" s="60">
        <v>23</v>
      </c>
      <c r="B34" s="61" t="s">
        <v>251</v>
      </c>
      <c r="C34" s="61" t="s">
        <v>252</v>
      </c>
    </row>
    <row r="35" spans="1:3" ht="39.75" customHeight="1" thickBot="1" x14ac:dyDescent="0.3">
      <c r="A35" s="60">
        <v>24</v>
      </c>
      <c r="B35" s="61" t="s">
        <v>253</v>
      </c>
      <c r="C35" s="61" t="s">
        <v>254</v>
      </c>
    </row>
    <row r="36" spans="1:3" ht="30" customHeight="1" thickBot="1" x14ac:dyDescent="0.3">
      <c r="A36" s="60">
        <v>25</v>
      </c>
      <c r="B36" s="61" t="s">
        <v>255</v>
      </c>
      <c r="C36" s="61" t="s">
        <v>256</v>
      </c>
    </row>
    <row r="37" spans="1:3" ht="30" customHeight="1" thickBot="1" x14ac:dyDescent="0.3">
      <c r="A37" s="60">
        <v>26</v>
      </c>
      <c r="B37" s="61" t="s">
        <v>257</v>
      </c>
      <c r="C37" s="61" t="s">
        <v>258</v>
      </c>
    </row>
    <row r="38" spans="1:3" ht="30" customHeight="1" thickBot="1" x14ac:dyDescent="0.3">
      <c r="A38" s="60">
        <v>27</v>
      </c>
      <c r="B38" s="61" t="s">
        <v>259</v>
      </c>
      <c r="C38" s="61" t="s">
        <v>260</v>
      </c>
    </row>
    <row r="39" spans="1:3" ht="30" customHeight="1" thickBot="1" x14ac:dyDescent="0.3">
      <c r="A39" s="60">
        <v>28</v>
      </c>
      <c r="B39" s="61" t="s">
        <v>261</v>
      </c>
      <c r="C39" s="61" t="s">
        <v>262</v>
      </c>
    </row>
    <row r="40" spans="1:3" ht="30" customHeight="1" thickBot="1" x14ac:dyDescent="0.3">
      <c r="A40" s="60">
        <v>29</v>
      </c>
      <c r="B40" s="61" t="s">
        <v>263</v>
      </c>
      <c r="C40" s="61" t="s">
        <v>264</v>
      </c>
    </row>
    <row r="41" spans="1:3" ht="30" customHeight="1" thickBot="1" x14ac:dyDescent="0.3">
      <c r="A41" s="60">
        <v>30</v>
      </c>
      <c r="B41" s="61" t="s">
        <v>265</v>
      </c>
      <c r="C41" s="61" t="s">
        <v>266</v>
      </c>
    </row>
    <row r="42" spans="1:3" ht="30" customHeight="1" thickBot="1" x14ac:dyDescent="0.3">
      <c r="A42" s="60">
        <v>31</v>
      </c>
      <c r="B42" s="61" t="s">
        <v>267</v>
      </c>
      <c r="C42" s="61" t="s">
        <v>268</v>
      </c>
    </row>
    <row r="43" spans="1:3" ht="30" customHeight="1" thickBot="1" x14ac:dyDescent="0.3">
      <c r="A43" s="60">
        <v>32</v>
      </c>
      <c r="B43" s="61" t="s">
        <v>269</v>
      </c>
      <c r="C43" s="61" t="s">
        <v>270</v>
      </c>
    </row>
    <row r="44" spans="1:3" ht="30" customHeight="1" thickBot="1" x14ac:dyDescent="0.3">
      <c r="A44" s="60">
        <v>33</v>
      </c>
      <c r="B44" s="61" t="s">
        <v>271</v>
      </c>
      <c r="C44" s="61" t="s">
        <v>94</v>
      </c>
    </row>
    <row r="45" spans="1:3" ht="30" customHeight="1" thickBot="1" x14ac:dyDescent="0.3">
      <c r="A45" s="60">
        <v>34</v>
      </c>
      <c r="B45" s="61" t="s">
        <v>272</v>
      </c>
      <c r="C45" s="61" t="s">
        <v>273</v>
      </c>
    </row>
    <row r="46" spans="1:3" ht="30" customHeight="1" thickBot="1" x14ac:dyDescent="0.3">
      <c r="A46" s="60">
        <v>35</v>
      </c>
      <c r="B46" s="61" t="s">
        <v>274</v>
      </c>
      <c r="C46" s="61" t="s">
        <v>275</v>
      </c>
    </row>
    <row r="47" spans="1:3" ht="30" customHeight="1" thickBot="1" x14ac:dyDescent="0.3">
      <c r="A47" s="60">
        <v>36</v>
      </c>
      <c r="B47" s="61" t="s">
        <v>249</v>
      </c>
      <c r="C47" s="61" t="s">
        <v>276</v>
      </c>
    </row>
    <row r="48" spans="1:3" ht="30" customHeight="1" thickBot="1" x14ac:dyDescent="0.3">
      <c r="A48" s="60">
        <v>37</v>
      </c>
      <c r="B48" s="61" t="s">
        <v>277</v>
      </c>
      <c r="C48" s="61" t="s">
        <v>278</v>
      </c>
    </row>
    <row r="49" spans="1:3" ht="30" customHeight="1" thickBot="1" x14ac:dyDescent="0.3">
      <c r="A49" s="60">
        <v>38</v>
      </c>
      <c r="B49" s="61" t="s">
        <v>279</v>
      </c>
      <c r="C49" s="61" t="s">
        <v>280</v>
      </c>
    </row>
    <row r="50" spans="1:3" ht="30" customHeight="1" thickBot="1" x14ac:dyDescent="0.3">
      <c r="A50" s="60">
        <v>39</v>
      </c>
      <c r="B50" s="61" t="s">
        <v>281</v>
      </c>
      <c r="C50" s="61" t="s">
        <v>282</v>
      </c>
    </row>
    <row r="51" spans="1:3" ht="30" customHeight="1" thickBot="1" x14ac:dyDescent="0.3">
      <c r="A51" s="60">
        <v>40</v>
      </c>
      <c r="B51" s="61" t="s">
        <v>283</v>
      </c>
      <c r="C51" s="61" t="s">
        <v>284</v>
      </c>
    </row>
    <row r="52" spans="1:3" ht="30" customHeight="1" thickBot="1" x14ac:dyDescent="0.3">
      <c r="A52" s="60">
        <v>41</v>
      </c>
      <c r="B52" s="61" t="s">
        <v>281</v>
      </c>
      <c r="C52" s="61" t="s">
        <v>285</v>
      </c>
    </row>
    <row r="53" spans="1:3" ht="30" customHeight="1" thickBot="1" x14ac:dyDescent="0.3">
      <c r="A53" s="60">
        <v>42</v>
      </c>
      <c r="B53" s="61" t="s">
        <v>286</v>
      </c>
      <c r="C53" s="61" t="s">
        <v>287</v>
      </c>
    </row>
    <row r="54" spans="1:3" ht="30" customHeight="1" thickBot="1" x14ac:dyDescent="0.3">
      <c r="A54" s="60">
        <v>43</v>
      </c>
      <c r="B54" s="61" t="s">
        <v>288</v>
      </c>
      <c r="C54" s="61" t="s">
        <v>289</v>
      </c>
    </row>
    <row r="55" spans="1:3" ht="30" customHeight="1" thickBot="1" x14ac:dyDescent="0.3">
      <c r="A55" s="60">
        <v>43</v>
      </c>
      <c r="B55" s="61" t="s">
        <v>290</v>
      </c>
      <c r="C55" s="61" t="s">
        <v>291</v>
      </c>
    </row>
    <row r="56" spans="1:3" ht="30" customHeight="1" thickBot="1" x14ac:dyDescent="0.3">
      <c r="A56" s="60">
        <v>44</v>
      </c>
      <c r="B56" s="61" t="s">
        <v>292</v>
      </c>
      <c r="C56" s="61" t="s">
        <v>293</v>
      </c>
    </row>
    <row r="57" spans="1:3" ht="30" customHeight="1" thickBot="1" x14ac:dyDescent="0.3">
      <c r="A57" s="60">
        <v>45</v>
      </c>
      <c r="B57" s="61" t="s">
        <v>294</v>
      </c>
      <c r="C57" s="61" t="s">
        <v>295</v>
      </c>
    </row>
    <row r="58" spans="1:3" ht="40.5" customHeight="1" thickBot="1" x14ac:dyDescent="0.3">
      <c r="A58" s="60">
        <v>46</v>
      </c>
      <c r="B58" s="61" t="s">
        <v>296</v>
      </c>
      <c r="C58" s="61" t="s">
        <v>297</v>
      </c>
    </row>
    <row r="59" spans="1:3" ht="30" customHeight="1" thickBot="1" x14ac:dyDescent="0.3">
      <c r="A59" s="60">
        <v>47</v>
      </c>
      <c r="B59" s="61" t="s">
        <v>298</v>
      </c>
      <c r="C59" s="61" t="s">
        <v>299</v>
      </c>
    </row>
    <row r="60" spans="1:3" ht="30" customHeight="1" thickBot="1" x14ac:dyDescent="0.3">
      <c r="A60" s="60">
        <v>48</v>
      </c>
      <c r="B60" s="61" t="s">
        <v>298</v>
      </c>
      <c r="C60" s="61" t="s">
        <v>300</v>
      </c>
    </row>
    <row r="61" spans="1:3" ht="30" customHeight="1" thickBot="1" x14ac:dyDescent="0.3">
      <c r="A61" s="60">
        <v>49</v>
      </c>
      <c r="B61" s="61" t="s">
        <v>298</v>
      </c>
      <c r="C61" s="61" t="s">
        <v>301</v>
      </c>
    </row>
    <row r="62" spans="1:3" ht="30" customHeight="1" thickBot="1" x14ac:dyDescent="0.3">
      <c r="A62" s="60">
        <v>50</v>
      </c>
      <c r="B62" s="61" t="s">
        <v>302</v>
      </c>
      <c r="C62" s="61" t="s">
        <v>303</v>
      </c>
    </row>
    <row r="63" spans="1:3" ht="21.75" customHeight="1" x14ac:dyDescent="0.3">
      <c r="A63" s="598" t="s">
        <v>304</v>
      </c>
      <c r="B63" s="598"/>
      <c r="C63" s="598"/>
    </row>
    <row r="65" spans="1:3" x14ac:dyDescent="0.25">
      <c r="A65" s="599" t="s">
        <v>305</v>
      </c>
      <c r="B65" s="600"/>
      <c r="C65" s="600"/>
    </row>
    <row r="66" spans="1:3" x14ac:dyDescent="0.25">
      <c r="A66" s="600"/>
      <c r="B66" s="600"/>
      <c r="C66" s="600"/>
    </row>
    <row r="67" spans="1:3" x14ac:dyDescent="0.25">
      <c r="A67" s="600"/>
      <c r="B67" s="600"/>
      <c r="C67" s="600"/>
    </row>
    <row r="68" spans="1:3" x14ac:dyDescent="0.25">
      <c r="A68" s="600"/>
      <c r="B68" s="600"/>
      <c r="C68" s="600"/>
    </row>
    <row r="69" spans="1:3" x14ac:dyDescent="0.25">
      <c r="A69" s="600"/>
      <c r="B69" s="600"/>
      <c r="C69" s="600"/>
    </row>
    <row r="70" spans="1:3" x14ac:dyDescent="0.25">
      <c r="A70" s="600"/>
      <c r="B70" s="600"/>
      <c r="C70" s="600"/>
    </row>
    <row r="71" spans="1:3" x14ac:dyDescent="0.25">
      <c r="A71" s="600"/>
      <c r="B71" s="600"/>
      <c r="C71" s="600"/>
    </row>
    <row r="72" spans="1:3" x14ac:dyDescent="0.25">
      <c r="A72" s="600"/>
      <c r="B72" s="600"/>
      <c r="C72" s="600"/>
    </row>
    <row r="73" spans="1:3" x14ac:dyDescent="0.25">
      <c r="A73" s="600"/>
      <c r="B73" s="600"/>
      <c r="C73" s="600"/>
    </row>
    <row r="75" spans="1:3" x14ac:dyDescent="0.25">
      <c r="A75" s="601" t="s">
        <v>306</v>
      </c>
      <c r="B75" s="602"/>
      <c r="C75" s="602"/>
    </row>
    <row r="76" spans="1:3" x14ac:dyDescent="0.25">
      <c r="A76" s="602"/>
      <c r="B76" s="602"/>
      <c r="C76" s="602"/>
    </row>
    <row r="77" spans="1:3" x14ac:dyDescent="0.25">
      <c r="A77" s="602"/>
      <c r="B77" s="602"/>
      <c r="C77" s="602"/>
    </row>
    <row r="79" spans="1:3" x14ac:dyDescent="0.25">
      <c r="A79" s="603"/>
      <c r="B79" s="603"/>
      <c r="C79" s="603"/>
    </row>
    <row r="80" spans="1:3" x14ac:dyDescent="0.25">
      <c r="A80" s="603"/>
      <c r="B80" s="603"/>
      <c r="C80" s="603"/>
    </row>
  </sheetData>
  <mergeCells count="12">
    <mergeCell ref="A79:C80"/>
    <mergeCell ref="A5:C5"/>
    <mergeCell ref="A6:C6"/>
    <mergeCell ref="A7:C7"/>
    <mergeCell ref="A8:C8"/>
    <mergeCell ref="A9:C9"/>
    <mergeCell ref="A10:A11"/>
    <mergeCell ref="A1:A4"/>
    <mergeCell ref="B1:B4"/>
    <mergeCell ref="A63:C63"/>
    <mergeCell ref="A65:C73"/>
    <mergeCell ref="A75:C77"/>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Instructivo </vt:lpstr>
      <vt:lpstr>1. Mapa de Riesgos</vt:lpstr>
      <vt:lpstr>2. CONTROL DE CAMBIOS</vt:lpstr>
      <vt:lpstr>Matriz Calor Inherente</vt:lpstr>
      <vt:lpstr>Matriz Calor Residual</vt:lpstr>
      <vt:lpstr>Tabla probabilidad</vt:lpstr>
      <vt:lpstr>Tabla Impacto</vt:lpstr>
      <vt:lpstr>Tabla Valoración controles</vt:lpstr>
      <vt:lpstr>Anexo 1</vt:lpstr>
      <vt:lpstr>Opciones Tratamiento</vt:lpstr>
      <vt:lpstr>Hoja1</vt:lpstr>
      <vt:lpstr>'1. Mapa de Riesgos'!Área_de_impresión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aux01</cp:lastModifiedBy>
  <cp:revision/>
  <cp:lastPrinted>2024-09-12T15:53:48Z</cp:lastPrinted>
  <dcterms:created xsi:type="dcterms:W3CDTF">2020-03-24T23:12:47Z</dcterms:created>
  <dcterms:modified xsi:type="dcterms:W3CDTF">2025-01-31T19:16:01Z</dcterms:modified>
  <cp:category/>
  <cp:contentStatus/>
</cp:coreProperties>
</file>